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13 2022 Lajeado\"/>
    </mc:Choice>
  </mc:AlternateContent>
  <bookViews>
    <workbookView xWindow="0" yWindow="0" windowWidth="28800" windowHeight="12300" tabRatio="500"/>
  </bookViews>
  <sheets>
    <sheet name="Real BCCPA-IN 5-CV - 40%" sheetId="1" r:id="rId1"/>
    <sheet name="RESUMO" sheetId="2" r:id="rId2"/>
    <sheet name="INSUMOS" sheetId="3" r:id="rId3"/>
  </sheets>
  <definedNames>
    <definedName name="__xlfn_SINGLE">NA()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3" i="3" l="1"/>
  <c r="E72" i="3"/>
  <c r="E71" i="3"/>
  <c r="E70" i="3"/>
  <c r="E69" i="3"/>
  <c r="E68" i="3"/>
  <c r="E74" i="3" s="1"/>
  <c r="G63" i="3"/>
  <c r="E63" i="3"/>
  <c r="E62" i="3"/>
  <c r="G62" i="3" s="1"/>
  <c r="G61" i="3"/>
  <c r="E61" i="3"/>
  <c r="E60" i="3"/>
  <c r="G60" i="3" s="1"/>
  <c r="G59" i="3"/>
  <c r="E59" i="3"/>
  <c r="E58" i="3"/>
  <c r="G58" i="3" s="1"/>
  <c r="G57" i="3"/>
  <c r="E57" i="3"/>
  <c r="G52" i="3"/>
  <c r="E52" i="3"/>
  <c r="E51" i="3"/>
  <c r="G51" i="3" s="1"/>
  <c r="G50" i="3"/>
  <c r="E50" i="3"/>
  <c r="E49" i="3"/>
  <c r="G49" i="3" s="1"/>
  <c r="G48" i="3"/>
  <c r="E48" i="3"/>
  <c r="E47" i="3"/>
  <c r="G47" i="3" s="1"/>
  <c r="G46" i="3"/>
  <c r="E46" i="3"/>
  <c r="E45" i="3"/>
  <c r="G45" i="3" s="1"/>
  <c r="G44" i="3"/>
  <c r="E44" i="3"/>
  <c r="E43" i="3"/>
  <c r="G43" i="3" s="1"/>
  <c r="G42" i="3"/>
  <c r="E42" i="3"/>
  <c r="E41" i="3"/>
  <c r="G41" i="3" s="1"/>
  <c r="G40" i="3"/>
  <c r="E40" i="3"/>
  <c r="E39" i="3"/>
  <c r="G39" i="3" s="1"/>
  <c r="G38" i="3"/>
  <c r="E38" i="3"/>
  <c r="E37" i="3"/>
  <c r="G37" i="3" s="1"/>
  <c r="G36" i="3"/>
  <c r="E36" i="3"/>
  <c r="E35" i="3"/>
  <c r="G35" i="3" s="1"/>
  <c r="G34" i="3"/>
  <c r="E34" i="3"/>
  <c r="E33" i="3"/>
  <c r="G33" i="3" s="1"/>
  <c r="G32" i="3"/>
  <c r="E32" i="3"/>
  <c r="F27" i="3"/>
  <c r="D27" i="3"/>
  <c r="D26" i="3"/>
  <c r="F26" i="3" s="1"/>
  <c r="F28" i="3" s="1"/>
  <c r="F25" i="3"/>
  <c r="D25" i="3"/>
  <c r="F20" i="3"/>
  <c r="D20" i="3"/>
  <c r="D19" i="3"/>
  <c r="F19" i="3" s="1"/>
  <c r="F18" i="3"/>
  <c r="D18" i="3"/>
  <c r="D17" i="3"/>
  <c r="F17" i="3" s="1"/>
  <c r="F16" i="3"/>
  <c r="D16" i="3"/>
  <c r="D15" i="3"/>
  <c r="F15" i="3" s="1"/>
  <c r="F14" i="3"/>
  <c r="D14" i="3"/>
  <c r="D13" i="3"/>
  <c r="F13" i="3" s="1"/>
  <c r="F12" i="3"/>
  <c r="D12" i="3"/>
  <c r="D11" i="3"/>
  <c r="F11" i="3" s="1"/>
  <c r="F10" i="3"/>
  <c r="D10" i="3"/>
  <c r="D9" i="3"/>
  <c r="F9" i="3" s="1"/>
  <c r="F8" i="3"/>
  <c r="D8" i="3"/>
  <c r="I242" i="1"/>
  <c r="I15" i="2" s="1"/>
  <c r="I235" i="1"/>
  <c r="I236" i="1" s="1"/>
  <c r="H232" i="1"/>
  <c r="H231" i="1"/>
  <c r="H228" i="1"/>
  <c r="H227" i="1"/>
  <c r="H224" i="1"/>
  <c r="H223" i="1"/>
  <c r="H222" i="1"/>
  <c r="I222" i="1" s="1"/>
  <c r="H221" i="1"/>
  <c r="H220" i="1"/>
  <c r="H219" i="1"/>
  <c r="I218" i="1"/>
  <c r="H218" i="1"/>
  <c r="H213" i="1"/>
  <c r="H212" i="1"/>
  <c r="H211" i="1"/>
  <c r="J211" i="1" s="1"/>
  <c r="D211" i="1"/>
  <c r="F205" i="1"/>
  <c r="F201" i="1"/>
  <c r="F197" i="1"/>
  <c r="I197" i="1" s="1"/>
  <c r="I193" i="1"/>
  <c r="F193" i="1"/>
  <c r="F189" i="1"/>
  <c r="I189" i="1" s="1"/>
  <c r="I185" i="1"/>
  <c r="F185" i="1"/>
  <c r="F181" i="1"/>
  <c r="I181" i="1" s="1"/>
  <c r="I163" i="1"/>
  <c r="J128" i="1"/>
  <c r="J129" i="1" s="1"/>
  <c r="J134" i="1" s="1"/>
  <c r="J88" i="1"/>
  <c r="J84" i="1"/>
  <c r="J92" i="1" s="1"/>
  <c r="J98" i="1" s="1"/>
  <c r="I80" i="1"/>
  <c r="I74" i="1"/>
  <c r="J58" i="1"/>
  <c r="J59" i="1" s="1"/>
  <c r="J36" i="1"/>
  <c r="J33" i="1"/>
  <c r="H233" i="1" s="1"/>
  <c r="J28" i="1"/>
  <c r="H229" i="1" s="1"/>
  <c r="I20" i="1"/>
  <c r="H225" i="1" s="1"/>
  <c r="H238" i="1" s="1"/>
  <c r="F21" i="3" l="1"/>
  <c r="B79" i="3"/>
  <c r="F29" i="3"/>
  <c r="E29" i="3"/>
  <c r="G53" i="3"/>
  <c r="G64" i="3"/>
  <c r="J76" i="1"/>
  <c r="J73" i="1"/>
  <c r="J105" i="1"/>
  <c r="J79" i="1"/>
  <c r="J75" i="1"/>
  <c r="J72" i="1"/>
  <c r="J65" i="1"/>
  <c r="J74" i="1"/>
  <c r="J170" i="1"/>
  <c r="J119" i="1"/>
  <c r="J115" i="1"/>
  <c r="J103" i="1"/>
  <c r="J77" i="1"/>
  <c r="J106" i="1"/>
  <c r="J108" i="1"/>
  <c r="J78" i="1"/>
  <c r="J64" i="1"/>
  <c r="J66" i="1" s="1"/>
  <c r="B85" i="3"/>
  <c r="D85" i="3" s="1"/>
  <c r="F85" i="3" s="1"/>
  <c r="J139" i="1" s="1"/>
  <c r="E75" i="3"/>
  <c r="J67" i="1"/>
  <c r="J107" i="1"/>
  <c r="J44" i="1"/>
  <c r="J104" i="1" l="1"/>
  <c r="J109" i="1" s="1"/>
  <c r="J172" i="1" s="1"/>
  <c r="J112" i="1"/>
  <c r="B83" i="3"/>
  <c r="D83" i="3" s="1"/>
  <c r="F83" i="3" s="1"/>
  <c r="J141" i="1" s="1"/>
  <c r="G65" i="3"/>
  <c r="D79" i="3"/>
  <c r="F79" i="3" s="1"/>
  <c r="C79" i="3"/>
  <c r="B80" i="3"/>
  <c r="G54" i="3"/>
  <c r="B78" i="3"/>
  <c r="F22" i="3"/>
  <c r="J68" i="1"/>
  <c r="J96" i="1" s="1"/>
  <c r="J99" i="1" s="1"/>
  <c r="J80" i="1"/>
  <c r="J97" i="1" s="1"/>
  <c r="B81" i="3" l="1"/>
  <c r="D78" i="3"/>
  <c r="F78" i="3" s="1"/>
  <c r="C78" i="3"/>
  <c r="J117" i="1"/>
  <c r="J120" i="1"/>
  <c r="J116" i="1"/>
  <c r="J118" i="1"/>
  <c r="J171" i="1"/>
  <c r="D80" i="3"/>
  <c r="F80" i="3" s="1"/>
  <c r="C80" i="3"/>
  <c r="J121" i="1" l="1"/>
  <c r="F81" i="3"/>
  <c r="B87" i="3"/>
  <c r="D87" i="3" s="1"/>
  <c r="D81" i="3"/>
  <c r="C81" i="3"/>
  <c r="F87" i="3" l="1"/>
  <c r="J140" i="1"/>
  <c r="J143" i="1" s="1"/>
  <c r="J174" i="1" s="1"/>
  <c r="J122" i="1"/>
  <c r="J123" i="1" s="1"/>
  <c r="J133" i="1" s="1"/>
  <c r="J135" i="1" s="1"/>
  <c r="J173" i="1" l="1"/>
  <c r="J175" i="1" s="1"/>
  <c r="J147" i="1"/>
  <c r="J148" i="1" s="1"/>
  <c r="J149" i="1" l="1"/>
  <c r="J150" i="1" s="1"/>
  <c r="J151" i="1" s="1"/>
  <c r="J160" i="1" l="1"/>
  <c r="J155" i="1"/>
  <c r="J154" i="1"/>
  <c r="J163" i="1" s="1"/>
  <c r="J161" i="1" l="1"/>
  <c r="J176" i="1" s="1"/>
  <c r="J177" i="1" s="1"/>
  <c r="I212" i="1" l="1"/>
  <c r="J212" i="1" s="1"/>
  <c r="G194" i="1"/>
  <c r="I194" i="1" s="1"/>
  <c r="I195" i="1" s="1"/>
  <c r="F223" i="1" s="1"/>
  <c r="I223" i="1" s="1"/>
  <c r="I213" i="1"/>
  <c r="J213" i="1" s="1"/>
  <c r="F232" i="1" s="1"/>
  <c r="I232" i="1" s="1"/>
  <c r="G190" i="1"/>
  <c r="I190" i="1" s="1"/>
  <c r="I191" i="1" s="1"/>
  <c r="F221" i="1" s="1"/>
  <c r="I221" i="1" s="1"/>
  <c r="G186" i="1"/>
  <c r="I186" i="1" s="1"/>
  <c r="I187" i="1" s="1"/>
  <c r="F220" i="1" s="1"/>
  <c r="I220" i="1" s="1"/>
  <c r="G206" i="1"/>
  <c r="I206" i="1" s="1"/>
  <c r="I207" i="1" s="1"/>
  <c r="F228" i="1" s="1"/>
  <c r="I228" i="1" s="1"/>
  <c r="G202" i="1"/>
  <c r="I202" i="1" s="1"/>
  <c r="I203" i="1" s="1"/>
  <c r="F227" i="1" s="1"/>
  <c r="I227" i="1" s="1"/>
  <c r="I229" i="1" s="1"/>
  <c r="G198" i="1"/>
  <c r="I198" i="1" s="1"/>
  <c r="I199" i="1" s="1"/>
  <c r="F224" i="1" s="1"/>
  <c r="I224" i="1" s="1"/>
  <c r="G182" i="1"/>
  <c r="I182" i="1" s="1"/>
  <c r="I183" i="1" s="1"/>
  <c r="F219" i="1" s="1"/>
  <c r="I219" i="1" s="1"/>
  <c r="I225" i="1" s="1"/>
  <c r="F231" i="1" l="1"/>
  <c r="I231" i="1" s="1"/>
  <c r="I233" i="1" s="1"/>
  <c r="I238" i="1" s="1"/>
  <c r="J214" i="1"/>
  <c r="I244" i="1" l="1"/>
  <c r="I17" i="2" s="1"/>
  <c r="I20" i="2" s="1"/>
  <c r="I240" i="1"/>
  <c r="I13" i="2" l="1"/>
  <c r="I19" i="2" s="1"/>
  <c r="G248" i="1"/>
</calcChain>
</file>

<file path=xl/sharedStrings.xml><?xml version="1.0" encoding="utf-8"?>
<sst xmlns="http://schemas.openxmlformats.org/spreadsheetml/2006/main" count="542" uniqueCount="329">
  <si>
    <t>LIMPEZA - Regime de Tributação: Lucro Real</t>
  </si>
  <si>
    <r>
      <rPr>
        <b/>
        <sz val="18"/>
        <rFont val="Arial"/>
        <family val="2"/>
        <charset val="1"/>
      </rPr>
      <t xml:space="preserve">ANEXO ----  </t>
    </r>
    <r>
      <rPr>
        <b/>
        <sz val="18"/>
        <color rgb="FFFF0000"/>
        <rFont val="Arial"/>
        <family val="2"/>
        <charset val="1"/>
      </rPr>
      <t xml:space="preserve">do Pregão nº XX/2022 – </t>
    </r>
    <r>
      <rPr>
        <b/>
        <sz val="18"/>
        <color rgb="FF0000FF"/>
        <rFont val="Arial"/>
        <family val="2"/>
        <charset val="1"/>
      </rPr>
      <t xml:space="preserve">CONTA VINCULADA
</t>
    </r>
    <r>
      <rPr>
        <b/>
        <sz val="18"/>
        <color rgb="FF000000"/>
        <rFont val="Arial"/>
        <family val="2"/>
        <charset val="1"/>
      </rPr>
      <t xml:space="preserve">PLANILHA DE CUSTOS E FORMAÇÃO DE PREÇOS </t>
    </r>
    <r>
      <rPr>
        <b/>
        <sz val="18"/>
        <color rgb="FF800080"/>
        <rFont val="Arial"/>
        <family val="2"/>
        <charset val="1"/>
      </rPr>
      <t xml:space="preserve"> </t>
    </r>
    <r>
      <rPr>
        <b/>
        <sz val="18"/>
        <rFont val="Arial"/>
        <family val="2"/>
        <charset val="1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</si>
  <si>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</si>
  <si>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</si>
  <si>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</si>
  <si>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</si>
  <si>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</si>
  <si>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</si>
  <si>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</si>
  <si>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</si>
  <si>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</si>
  <si>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Lajeado/RS</t>
  </si>
  <si>
    <t>C</t>
  </si>
  <si>
    <t>Ano do Acordo, Convenção ou Dissídio Coletivo</t>
  </si>
  <si>
    <t xml:space="preserve"> RS005035/2021            SINDIASSEIO</t>
  </si>
  <si>
    <t>D</t>
  </si>
  <si>
    <t>Número de meses de execução contratual</t>
  </si>
  <si>
    <t>IDENTIFICAÇÃO DO SERVIÇO</t>
  </si>
  <si>
    <t xml:space="preserve">Tipo de Serviço: Limpeza e Conservação Predial para o Câmpus Lajeado IFSUL (Insalubridade 40%)                                                                                             </t>
  </si>
  <si>
    <t>Unidade
 de 
Medida</t>
  </si>
  <si>
    <t xml:space="preserve">Quantidade total a contratar (Em função da unidade de medida) </t>
  </si>
  <si>
    <t>a) Áreas internas - Pisos acarpetados</t>
  </si>
  <si>
    <t>m2</t>
  </si>
  <si>
    <t>b) Áreas internas - Pisos frios</t>
  </si>
  <si>
    <t>c) Áreas internas - Laboratórios</t>
  </si>
  <si>
    <t>d) Áreas internas - Almoxarifados/galpões</t>
  </si>
  <si>
    <t>e) Áreas internas - Oficinas</t>
  </si>
  <si>
    <t>f) Áreas internas - Áreas com espaços livres - saguão, hall e salão</t>
  </si>
  <si>
    <t>m-2</t>
  </si>
  <si>
    <t>m-1</t>
  </si>
  <si>
    <t>m0</t>
  </si>
  <si>
    <t>g) Banheiros</t>
  </si>
  <si>
    <t>TOTAL DA ÁREA INTERNA</t>
  </si>
  <si>
    <t>a) Áreas externas - Pisos pavimentados adjacentes/contíguos às edificações</t>
  </si>
  <si>
    <t>b) Áreas externas -  Varrição de passeios e arruamentos</t>
  </si>
  <si>
    <t>c) Áreas externas -  Pátios com áreas verdes com alta frequência</t>
  </si>
  <si>
    <t>d) Áreas externas -  Pátios com áreas verdes com média frequência</t>
  </si>
  <si>
    <t>e) Áreas externas -  Pátios com áreas verdes com baixa frequência</t>
  </si>
  <si>
    <t>f) Áreas externas -  Coleta de detritos em pátios e áreas verdes com frequência diária</t>
  </si>
  <si>
    <t>TOTAL DA ÁREA EXTERNA</t>
  </si>
  <si>
    <t>a) Esquadrias externas - Face externa com exposição a situação de risco</t>
  </si>
  <si>
    <t>b) Esquadrias externas - Face externa sem exposição a situação de risco</t>
  </si>
  <si>
    <t>c) Esquadrias - Face interna</t>
  </si>
  <si>
    <t>TOTAL DA ÁREA DA ESQUADRIA EXTERNA - FACE INTERNA/EXTERNA</t>
  </si>
  <si>
    <t>a) Fachada envidraçada</t>
  </si>
  <si>
    <t>TOTAL DA ÁREA DA FACHADA ENVIDRAÇADA</t>
  </si>
  <si>
    <t>a) Áreas hospitalares e assemelhadas</t>
  </si>
  <si>
    <r>
      <rPr>
        <b/>
        <sz val="10"/>
        <rFont val="Arial"/>
        <family val="2"/>
        <charset val="1"/>
      </rPr>
      <t xml:space="preserve">                                                                                                     </t>
    </r>
    <r>
      <rPr>
        <b/>
        <sz val="10"/>
        <color rgb="FFFF0000"/>
        <rFont val="Arial"/>
        <family val="2"/>
        <charset val="1"/>
      </rPr>
      <t>TOTAL DAS ÁREAS HOSPITALARES</t>
    </r>
  </si>
  <si>
    <t>a) Outras áreas (especificar)</t>
  </si>
  <si>
    <t>TOTAL DAS OUTRAS ÁREAS (ESPECIFICAR)</t>
  </si>
  <si>
    <t xml:space="preserve">TOTAL GERAL </t>
  </si>
  <si>
    <r>
      <rPr>
        <b/>
        <sz val="15"/>
        <rFont val="Arial"/>
        <family val="2"/>
        <charset val="1"/>
      </rPr>
      <t xml:space="preserve">1. MÓDULOS 
</t>
    </r>
    <r>
      <rPr>
        <b/>
        <sz val="12"/>
        <rFont val="Arial"/>
        <family val="2"/>
        <charset val="1"/>
      </rPr>
      <t xml:space="preserve">Mão de obra
</t>
    </r>
    <r>
      <rPr>
        <b/>
        <sz val="11"/>
        <rFont val="Arial"/>
        <family val="2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</si>
  <si>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</si>
  <si>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</si>
  <si>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 Limpeza e conservação</t>
  </si>
  <si>
    <t>Classificação Brasileira de Ocupações (CBO)</t>
  </si>
  <si>
    <t>5143-20</t>
  </si>
  <si>
    <t>Salário Normativo da Categoria Profissional - para a jornada de 44 h/sem</t>
  </si>
  <si>
    <t>Categoria Profissional (vinculada à execução contratual)</t>
  </si>
  <si>
    <t xml:space="preserve">      Servente de limpeza</t>
  </si>
  <si>
    <t>Data-Base da Categoria (dia/mês/ano)</t>
  </si>
  <si>
    <t>1º de janeiro de 2022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</si>
  <si>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</si>
  <si>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</si>
  <si>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</si>
  <si>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</si>
  <si>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rFont val="Arial"/>
        <family val="2"/>
        <charset val="1"/>
      </rPr>
      <t xml:space="preserve">Salário-Base   </t>
    </r>
    <r>
      <rPr>
        <b/>
        <sz val="10"/>
        <color rgb="FFFF0000"/>
        <rFont val="Arial"/>
        <family val="2"/>
        <charset val="1"/>
      </rPr>
      <t xml:space="preserve"> (valor para somente 1 servente de limpeza) </t>
    </r>
  </si>
  <si>
    <t>Adicional de Insalubridade (40% do SB - cláusula 17, “c” da CCT/2022)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</si>
  <si>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</si>
  <si>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</si>
  <si>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</si>
  <si>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</si>
  <si>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rFont val="Arial"/>
        <family val="2"/>
        <charset val="1"/>
      </rPr>
      <t>13º (décimo terceiro) Salário</t>
    </r>
    <r>
      <rPr>
        <b/>
        <sz val="11"/>
        <color rgb="FFFF0000"/>
        <rFont val="Arial"/>
        <family val="2"/>
        <charset val="1"/>
      </rPr>
      <t xml:space="preserve"> </t>
    </r>
    <r>
      <rPr>
        <b/>
        <sz val="11"/>
        <rFont val="Arial"/>
        <family val="2"/>
        <charset val="1"/>
      </rPr>
      <t>e Adicional de Férias</t>
    </r>
  </si>
  <si>
    <t>Valor (R$)</t>
  </si>
  <si>
    <r>
      <rPr>
        <b/>
        <sz val="10"/>
        <rFont val="Arial"/>
        <family val="2"/>
        <charset val="1"/>
      </rPr>
      <t>13º (décimo terceiro) Salário</t>
    </r>
    <r>
      <rPr>
        <b/>
        <sz val="11"/>
        <color rgb="FF000000"/>
        <rFont val="Arial"/>
        <family val="2"/>
        <charset val="1"/>
      </rPr>
      <t xml:space="preserve"> </t>
    </r>
    <r>
      <rPr>
        <b/>
        <sz val="8"/>
        <color rgb="FFFF0000"/>
        <rFont val="Arial"/>
        <family val="2"/>
        <charset val="1"/>
      </rPr>
      <t>Obrigatória a cotação de 8,33% sobre o valor do Módulo 1 – Composição da Remuneração, conforme Anexo XII da IN 5/17</t>
    </r>
  </si>
  <si>
    <r>
      <rPr>
        <b/>
        <sz val="10"/>
        <color rgb="FFFF0000"/>
        <rFont val="Arial"/>
        <family val="2"/>
        <charset val="1"/>
      </rPr>
      <t>(Férias e)</t>
    </r>
    <r>
      <rPr>
        <b/>
        <sz val="10"/>
        <color rgb="FF000000"/>
        <rFont val="Arial"/>
        <family val="2"/>
        <charset val="1"/>
      </rPr>
      <t xml:space="preserve"> Adicional de Férias</t>
    </r>
    <r>
      <rPr>
        <b/>
        <sz val="10"/>
        <color rgb="FF009900"/>
        <rFont val="Arial"/>
        <family val="2"/>
        <charset val="1"/>
      </rPr>
      <t xml:space="preserve"> </t>
    </r>
    <r>
      <rPr>
        <b/>
        <sz val="8"/>
        <color rgb="FFFF0000"/>
        <rFont val="Arial"/>
        <family val="2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</si>
  <si>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</si>
  <si>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</si>
  <si>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</si>
  <si>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</si>
  <si>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</si>
  <si>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</si>
  <si>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</si>
  <si>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</si>
  <si>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</si>
  <si>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</si>
  <si>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</si>
  <si>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</si>
  <si>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</si>
  <si>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</si>
  <si>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</si>
  <si>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</si>
  <si>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</si>
  <si>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</si>
  <si>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</si>
  <si>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</si>
  <si>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</si>
  <si>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</si>
  <si>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</si>
  <si>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</si>
  <si>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rFont val="Arial"/>
        <family val="2"/>
        <charset val="1"/>
      </rPr>
      <t xml:space="preserve">Transporte                                              </t>
    </r>
    <r>
      <rPr>
        <b/>
        <sz val="10"/>
        <color rgb="FFFF0000"/>
        <rFont val="Arial"/>
        <family val="2"/>
        <charset val="1"/>
      </rPr>
      <t xml:space="preserve"> Cálculo do valor: [(2xVTx22) – (6%xSB)]</t>
    </r>
  </si>
  <si>
    <t xml:space="preserve">      A.1) Valor da passagem do transporte coletivo no município de prestação dos serviços: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</si>
  <si>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</si>
  <si>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</si>
  <si>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</si>
  <si>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rFont val="Arial"/>
        <family val="2"/>
        <charset val="1"/>
      </rPr>
      <t xml:space="preserve">Auxílio-Refeição/Alimentação </t>
    </r>
    <r>
      <rPr>
        <b/>
        <sz val="10"/>
        <color rgb="FFFF0000"/>
        <rFont val="Arial"/>
        <family val="2"/>
        <charset val="1"/>
      </rPr>
      <t>Cálculo do valor = [(22xVA)x(1-</t>
    </r>
    <r>
      <rPr>
        <b/>
        <sz val="10"/>
        <color rgb="FF0000FF"/>
        <rFont val="Arial"/>
        <family val="2"/>
        <charset val="1"/>
      </rPr>
      <t>0,19</t>
    </r>
    <r>
      <rPr>
        <b/>
        <sz val="10"/>
        <color rgb="FFFF0000"/>
        <rFont val="Arial"/>
        <family val="2"/>
        <charset val="1"/>
      </rPr>
      <t>)]</t>
    </r>
  </si>
  <si>
    <t xml:space="preserve">      B.1) Valor do auxílio-alimentação (clausula 18 da CCT 2022): </t>
  </si>
  <si>
    <t xml:space="preserve">      B.2) Quantidade de dias do mês de recebimento de auxílio-alimentação</t>
  </si>
  <si>
    <t xml:space="preserve">Plano de Benefício Social Familiar (cláusula 29 da CCT 2022)  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</si>
  <si>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</si>
  <si>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</si>
  <si>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</si>
  <si>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</si>
  <si>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</si>
  <si>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</si>
  <si>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r>
      <rPr>
        <b/>
        <sz val="10"/>
        <rFont val="Arial"/>
        <family val="2"/>
        <charset val="1"/>
      </rPr>
      <t xml:space="preserve">Aviso Prévio Indenizado     </t>
    </r>
    <r>
      <rPr>
        <b/>
        <sz val="8"/>
        <color rgb="FFFF0000"/>
        <rFont val="Arial"/>
        <family val="2"/>
        <charset val="1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</si>
  <si>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</si>
  <si>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rFont val="Arial"/>
        <family val="2"/>
        <charset val="1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  <charset val="1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</si>
  <si>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rFont val="Arial"/>
        <family val="2"/>
        <charset val="1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  <charset val="1"/>
      </rPr>
      <t>Cálculo do valor= [(Rem/30)x7]/30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</si>
  <si>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</si>
  <si>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rFont val="Arial"/>
        <family val="2"/>
        <charset val="1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  <charset val="1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</si>
  <si>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</si>
  <si>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</si>
  <si>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</si>
  <si>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</si>
  <si>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</si>
  <si>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rFont val="Arial"/>
        <family val="2"/>
        <charset val="1"/>
      </rPr>
      <t xml:space="preserve">Ausências Legais                                               </t>
    </r>
    <r>
      <rPr>
        <b/>
        <sz val="10"/>
        <color rgb="FFFF0000"/>
        <rFont val="Arial"/>
        <family val="2"/>
        <charset val="1"/>
      </rPr>
      <t>Cálculo do valor = 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/30)x2,96dias]/12</t>
    </r>
  </si>
  <si>
    <r>
      <rPr>
        <b/>
        <sz val="10"/>
        <rFont val="Arial"/>
        <family val="2"/>
        <charset val="1"/>
      </rPr>
      <t xml:space="preserve">Licença-Paternidade                                         </t>
    </r>
    <r>
      <rPr>
        <b/>
        <sz val="10"/>
        <color rgb="FFFF0000"/>
        <rFont val="Arial"/>
        <family val="2"/>
        <charset val="1"/>
      </rPr>
      <t>Cálculo do valor = {[(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/30)x5dias]/12}x1,5%</t>
    </r>
  </si>
  <si>
    <r>
      <rPr>
        <b/>
        <sz val="10"/>
        <rFont val="Arial"/>
        <family val="2"/>
        <charset val="1"/>
      </rPr>
      <t xml:space="preserve">Ausência por acidente de trabalho                 </t>
    </r>
    <r>
      <rPr>
        <b/>
        <sz val="10"/>
        <color rgb="FFFF0000"/>
        <rFont val="Arial"/>
        <family val="2"/>
        <charset val="1"/>
      </rPr>
      <t>Cálculo do valor  = {[(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/30)x15dias]/12}x0,78%</t>
    </r>
  </si>
  <si>
    <r>
      <rPr>
        <b/>
        <sz val="10"/>
        <rFont val="Arial"/>
        <family val="2"/>
        <charset val="1"/>
      </rPr>
      <t xml:space="preserve">Afastamento Maternidade                                </t>
    </r>
    <r>
      <rPr>
        <b/>
        <sz val="10"/>
        <color rgb="FFFF0000"/>
        <rFont val="Arial"/>
        <family val="2"/>
        <charset val="1"/>
      </rPr>
      <t>Cálculo do valor = {[(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+1/3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)/12]x(4/12)}x2%</t>
    </r>
  </si>
  <si>
    <r>
      <rPr>
        <b/>
        <sz val="10"/>
        <color rgb="FF000000"/>
        <rFont val="Arial"/>
        <family val="2"/>
        <charset val="1"/>
      </rPr>
      <t xml:space="preserve">(Outros)   Ausência por doença                      </t>
    </r>
    <r>
      <rPr>
        <b/>
        <sz val="10"/>
        <color rgb="FFFF0000"/>
        <rFont val="Arial"/>
        <family val="2"/>
        <charset val="1"/>
      </rPr>
      <t>Cálculo do valor = 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</si>
  <si>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</si>
  <si>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</si>
  <si>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</si>
  <si>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</si>
  <si>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</si>
  <si>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</si>
  <si>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</si>
  <si>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</si>
  <si>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</si>
  <si>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</si>
  <si>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</si>
  <si>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</si>
  <si>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</si>
  <si>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</si>
  <si>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</si>
  <si>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</si>
  <si>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</si>
  <si>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</si>
  <si>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</si>
  <si>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</si>
  <si>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</si>
  <si>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</si>
  <si>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</si>
  <si>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</si>
  <si>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</si>
  <si>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</si>
  <si>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</si>
  <si>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r>
      <rPr>
        <b/>
        <sz val="1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</si>
  <si>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</si>
  <si>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</si>
  <si>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</si>
  <si>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</si>
  <si>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rFont val="Arial"/>
        <family val="2"/>
        <charset val="1"/>
      </rPr>
      <t xml:space="preserve">  a) ISS             </t>
    </r>
    <r>
      <rPr>
        <sz val="10"/>
        <color rgb="FFFF0000"/>
        <rFont val="Arial"/>
        <family val="2"/>
        <charset val="1"/>
      </rPr>
      <t xml:space="preserve">  (Lei  2.714/1973 - Prefeitura de Lajeado/RS)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</si>
  <si>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</si>
  <si>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</si>
  <si>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</si>
  <si>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</si>
  <si>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</si>
  <si>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</si>
  <si>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</si>
  <si>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</si>
  <si>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</si>
  <si>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</si>
  <si>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</si>
  <si>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</si>
  <si>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</si>
  <si>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</si>
  <si>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3.  COMPLEMENTO DOS SERVIÇOS DE LIMPEZA E CONSERVAÇÃO</t>
  </si>
  <si>
    <t>PREÇO MENSAL UNITÁRIO POR M² (metro quadrado)</t>
  </si>
  <si>
    <t>MÃO DE OBRA 
       ENCARREGADO / SERVENTE</t>
  </si>
  <si>
    <t>(1) 
PRODUTIVIDADE
(1/M²)</t>
  </si>
  <si>
    <t>(2)
PREÇO HOMEM-MÊS                   (R$)</t>
  </si>
  <si>
    <t>(1 X 2)
SUBTOTAL
(R$/M²)</t>
  </si>
  <si>
    <r>
      <rPr>
        <sz val="10"/>
        <rFont val="Arial"/>
        <family val="2"/>
        <charset val="1"/>
      </rPr>
      <t>ENC. / Pisos frios</t>
    </r>
    <r>
      <rPr>
        <sz val="10"/>
        <color rgb="FFFF3333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1/(30** x 1200*)</t>
    </r>
  </si>
  <si>
    <r>
      <rPr>
        <sz val="10"/>
        <rFont val="Arial"/>
        <family val="2"/>
        <charset val="1"/>
      </rPr>
      <t xml:space="preserve">SERV. / Pisos frios </t>
    </r>
    <r>
      <rPr>
        <sz val="10"/>
        <color rgb="FFFF0000"/>
        <rFont val="Arial"/>
        <family val="2"/>
        <charset val="1"/>
      </rPr>
      <t>= 1 / 1200*</t>
    </r>
  </si>
  <si>
    <t>TOTAL</t>
  </si>
  <si>
    <r>
      <rPr>
        <sz val="9"/>
        <rFont val="Arial"/>
        <family val="2"/>
        <charset val="1"/>
      </rPr>
      <t xml:space="preserve">ENC. / Laboratórios </t>
    </r>
    <r>
      <rPr>
        <sz val="9"/>
        <color rgb="FFFF0000"/>
        <rFont val="Arial"/>
        <family val="2"/>
        <charset val="1"/>
      </rPr>
      <t>= 1/(30**x 450*)</t>
    </r>
  </si>
  <si>
    <r>
      <rPr>
        <sz val="9"/>
        <rFont val="Arial"/>
        <family val="2"/>
        <charset val="1"/>
      </rPr>
      <t xml:space="preserve">SERV./Laboratórios </t>
    </r>
    <r>
      <rPr>
        <sz val="9"/>
        <color rgb="FFFF0000"/>
        <rFont val="Arial"/>
        <family val="2"/>
        <charset val="1"/>
      </rPr>
      <t>= 1/450*</t>
    </r>
  </si>
  <si>
    <r>
      <rPr>
        <sz val="9"/>
        <rFont val="Arial"/>
        <family val="2"/>
        <charset val="1"/>
      </rPr>
      <t xml:space="preserve">ENC. / Almoxaridados/galpões </t>
    </r>
    <r>
      <rPr>
        <sz val="9"/>
        <color rgb="FFFF0000"/>
        <rFont val="Arial"/>
        <family val="2"/>
        <charset val="1"/>
      </rPr>
      <t>= 1/(30**x 2500*)</t>
    </r>
  </si>
  <si>
    <r>
      <rPr>
        <sz val="9"/>
        <rFont val="Arial"/>
        <family val="2"/>
        <charset val="1"/>
      </rPr>
      <t xml:space="preserve">SERV./Almoxaridados/galpões </t>
    </r>
    <r>
      <rPr>
        <sz val="9"/>
        <color rgb="FFFF0000"/>
        <rFont val="Arial"/>
        <family val="2"/>
        <charset val="1"/>
      </rPr>
      <t>= 1/2500*</t>
    </r>
  </si>
  <si>
    <r>
      <rPr>
        <sz val="10"/>
        <rFont val="Arial"/>
        <family val="2"/>
        <charset val="1"/>
      </rPr>
      <t xml:space="preserve">ENC. / Áreas com espaços livres - saguão, hall e salão </t>
    </r>
    <r>
      <rPr>
        <sz val="10"/>
        <color rgb="FFFF0000"/>
        <rFont val="Arial"/>
        <family val="2"/>
        <charset val="1"/>
      </rPr>
      <t>= 1/(30**x1500*)</t>
    </r>
  </si>
  <si>
    <r>
      <rPr>
        <sz val="10"/>
        <rFont val="Arial"/>
        <family val="2"/>
        <charset val="1"/>
      </rPr>
      <t xml:space="preserve">SERV. / Áreas com espaços livres - saguão, hall e salão </t>
    </r>
    <r>
      <rPr>
        <sz val="10"/>
        <color rgb="FFFF0000"/>
        <rFont val="Arial"/>
        <family val="2"/>
        <charset val="1"/>
      </rPr>
      <t>= 1/1500*</t>
    </r>
  </si>
  <si>
    <r>
      <rPr>
        <sz val="10"/>
        <rFont val="Arial"/>
        <family val="2"/>
        <charset val="1"/>
      </rPr>
      <t>ENC. / Banheiros</t>
    </r>
    <r>
      <rPr>
        <b/>
        <sz val="10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1(30**x300*)</t>
    </r>
  </si>
  <si>
    <r>
      <rPr>
        <sz val="10"/>
        <rFont val="Arial"/>
        <family val="2"/>
        <charset val="1"/>
      </rPr>
      <t>SERV. / Banheiros</t>
    </r>
    <r>
      <rPr>
        <b/>
        <sz val="10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1/300*</t>
    </r>
  </si>
  <si>
    <r>
      <rPr>
        <sz val="10"/>
        <rFont val="Arial"/>
        <family val="2"/>
        <charset val="1"/>
      </rPr>
      <t>ENC. / Varrição de passeios e arruamentos</t>
    </r>
    <r>
      <rPr>
        <sz val="10"/>
        <color rgb="FFFF0000"/>
        <rFont val="Arial"/>
        <family val="2"/>
        <charset val="1"/>
      </rPr>
      <t xml:space="preserve">  = 1/(30** x 9000*)</t>
    </r>
  </si>
  <si>
    <t>30</t>
  </si>
  <si>
    <r>
      <rPr>
        <sz val="10"/>
        <rFont val="Arial"/>
        <family val="2"/>
        <charset val="1"/>
      </rPr>
      <t xml:space="preserve">SERV. / Varrição de passeios e arruamentos </t>
    </r>
    <r>
      <rPr>
        <sz val="10"/>
        <color rgb="FFFF0000"/>
        <rFont val="Arial"/>
        <family val="2"/>
        <charset val="1"/>
      </rPr>
      <t>= 1/9000*</t>
    </r>
  </si>
  <si>
    <r>
      <rPr>
        <sz val="10"/>
        <rFont val="Arial"/>
        <family val="2"/>
        <charset val="1"/>
      </rPr>
      <t>ENC. / Coleta de detritos</t>
    </r>
    <r>
      <rPr>
        <sz val="10"/>
        <color rgb="FFFF0000"/>
        <rFont val="Arial"/>
        <family val="2"/>
        <charset val="1"/>
      </rPr>
      <t xml:space="preserve">  = 1/(30** x 100000*)</t>
    </r>
  </si>
  <si>
    <r>
      <rPr>
        <sz val="10"/>
        <rFont val="Arial"/>
        <family val="2"/>
        <charset val="1"/>
      </rPr>
      <t xml:space="preserve">SERV. / Coleta de detritos </t>
    </r>
    <r>
      <rPr>
        <sz val="10"/>
        <color rgb="FFFF0000"/>
        <rFont val="Arial"/>
        <family val="2"/>
        <charset val="1"/>
      </rPr>
      <t>= 1/100000*</t>
    </r>
  </si>
  <si>
    <r>
      <rPr>
        <b/>
        <sz val="9"/>
        <rFont val="Arial"/>
        <family val="2"/>
        <charset val="1"/>
      </rPr>
      <t xml:space="preserve">MÃO DE OBRA 
       </t>
    </r>
    <r>
      <rPr>
        <b/>
        <sz val="8"/>
        <color rgb="FF000000"/>
        <rFont val="Arial"/>
        <family val="2"/>
        <charset val="1"/>
      </rPr>
      <t>ENCARREGADO / SERVENTE</t>
    </r>
  </si>
  <si>
    <t>(1)
PRODUTIVIDADE 
(1/M²)</t>
  </si>
  <si>
    <t>(2) FREQUÊNCIA NO MÊS    (HORAS)      16 ***</t>
  </si>
  <si>
    <t>(3)
 JORNADA DE TRABALHO NO MÊS
 (HORAS)</t>
  </si>
  <si>
    <t>(4) 
= (1 X 2 X 3)
Ki****</t>
  </si>
  <si>
    <t>(5)
PREÇO HOMEM-MÊS 
(R$)</t>
  </si>
  <si>
    <t>(6) = (4 X 5)
 SUBTOTAL
 (R$/M²)</t>
  </si>
  <si>
    <t>ENC. / Face externa sem exposição a situação de risco = 1/(30**x760*)</t>
  </si>
  <si>
    <t>1</t>
  </si>
  <si>
    <t>188,76</t>
  </si>
  <si>
    <t>SERV. / Face interna = 1/760*</t>
  </si>
  <si>
    <t>SERV. / Face externa sem exposição a situação de risco = 1/760*</t>
  </si>
  <si>
    <t>4. VALOR MENSAL DOS SERVIÇOS</t>
  </si>
  <si>
    <t>TIPO DE ÁREA</t>
  </si>
  <si>
    <t>PREÇO MENSAL UNITÁRIO (R$/M²)</t>
  </si>
  <si>
    <t>ÁREA
(M²)</t>
  </si>
  <si>
    <t>SUBTOTAL
(R$)</t>
  </si>
  <si>
    <t>g) Áreas internas – Banheiros</t>
  </si>
  <si>
    <t>a) Áreas externa – Varrição de passeio e arruamentos</t>
  </si>
  <si>
    <t xml:space="preserve">b) Áreas externa -  Coleta de detritos em pátios e áreas verdes com frequência diária </t>
  </si>
  <si>
    <t>a) Esquadrias - Face interna</t>
  </si>
  <si>
    <r>
      <rPr>
        <b/>
        <sz val="10"/>
        <rFont val="Arial"/>
        <family val="2"/>
        <charset val="1"/>
      </rPr>
      <t xml:space="preserve">b) Esquadrias - </t>
    </r>
    <r>
      <rPr>
        <b/>
        <sz val="10"/>
        <color rgb="FF000000"/>
        <rFont val="Arial"/>
        <family val="1"/>
        <charset val="1"/>
      </rPr>
      <t>Face externa sem exposição a situação de risco</t>
    </r>
  </si>
  <si>
    <t>TOTAL DA ÁREA DE ESQUADRIAS</t>
  </si>
  <si>
    <t>Valor mensal do serviço</t>
  </si>
  <si>
    <t>Número de meses do contrato</t>
  </si>
  <si>
    <r>
      <rPr>
        <b/>
        <sz val="14"/>
        <rFont val="Arial"/>
        <family val="2"/>
        <charset val="1"/>
      </rPr>
      <t xml:space="preserve">Valor global da proposta </t>
    </r>
    <r>
      <rPr>
        <b/>
        <sz val="10"/>
        <rFont val="Arial"/>
        <family val="2"/>
        <charset val="1"/>
      </rPr>
      <t>(valor mensal do serviço x nº de meses do contrato)</t>
    </r>
  </si>
  <si>
    <t>QUANTIDADE DE PESSOAL ALOCADO NA EXECUÇÃO CONTRATUAL (item 6.2.e do Anexo VII da IN nº 5/2017</t>
  </si>
  <si>
    <t>Tipo de Mão de Obra</t>
  </si>
  <si>
    <t>Quantidade de Pessoal</t>
  </si>
  <si>
    <t>Servente de limpeza</t>
  </si>
  <si>
    <r>
      <rPr>
        <b/>
        <sz val="18"/>
        <rFont val="Arial"/>
        <family val="2"/>
        <charset val="1"/>
      </rPr>
      <t xml:space="preserve">ANEXO ----  </t>
    </r>
    <r>
      <rPr>
        <b/>
        <sz val="18"/>
        <color rgb="FFFF0000"/>
        <rFont val="Arial"/>
        <family val="2"/>
        <charset val="1"/>
      </rPr>
      <t xml:space="preserve">do Pregão nº XX/2022 – </t>
    </r>
    <r>
      <rPr>
        <b/>
        <sz val="18"/>
        <color rgb="FF0000FF"/>
        <rFont val="Arial"/>
        <family val="2"/>
        <charset val="1"/>
      </rPr>
      <t xml:space="preserve">CONTA VINCULADA
</t>
    </r>
    <r>
      <rPr>
        <b/>
        <sz val="18"/>
        <color rgb="FF000000"/>
        <rFont val="Arial"/>
        <family val="2"/>
        <charset val="1"/>
      </rPr>
      <t xml:space="preserve">MODELO DE PLANILHA DE CUSTOS E FORMAÇÃO DE PREÇOS </t>
    </r>
    <r>
      <rPr>
        <b/>
        <sz val="18"/>
        <color rgb="FF800080"/>
        <rFont val="Arial"/>
        <family val="2"/>
        <charset val="1"/>
      </rPr>
      <t xml:space="preserve"> </t>
    </r>
    <r>
      <rPr>
        <b/>
        <sz val="18"/>
        <rFont val="Arial"/>
        <family val="2"/>
        <charset val="1"/>
      </rPr>
      <t xml:space="preserve"> </t>
    </r>
  </si>
  <si>
    <t xml:space="preserve">xxxxxxx </t>
  </si>
  <si>
    <t xml:space="preserve">Dia: </t>
  </si>
  <si>
    <t xml:space="preserve">RS005035/2021            SINDIASSEIO
</t>
  </si>
  <si>
    <t xml:space="preserve">Tipo de Serviço: Limpeza e Conservação Predial Para o Câmpus Lajeado do IFSUL (Insalubridade 40%)       </t>
  </si>
  <si>
    <t>Valor global da proposta (valor mensal do serviço x nº de meses do contrato)</t>
  </si>
  <si>
    <t>Valor Total Mensal do Contrato</t>
  </si>
  <si>
    <t>Valor Total do Contrato para 30 meses</t>
  </si>
  <si>
    <t>xxxxxx</t>
  </si>
  <si>
    <t>INSUMOS DIVERSOS</t>
  </si>
  <si>
    <t>Materiais de Limpeza – SANEANTES DOMISSANITÁRIOS</t>
  </si>
  <si>
    <t>Unidade</t>
  </si>
  <si>
    <t>Quantidade Mensal</t>
  </si>
  <si>
    <t>Quantidade para 30 meses</t>
  </si>
  <si>
    <t>Valor Unitário</t>
  </si>
  <si>
    <t>Custo para 30 meses</t>
  </si>
  <si>
    <t>Água Sanitária de 1ª qualidade, galão de 5 litros</t>
  </si>
  <si>
    <t>galão</t>
  </si>
  <si>
    <t>Álcool 70 °INPM (70% p/p) ou 77 °GL (77% v/v)</t>
  </si>
  <si>
    <t>litro</t>
  </si>
  <si>
    <t>Álcool em gel, 70% INPM ou 77º GL (77% v/v)</t>
  </si>
  <si>
    <t>Detergente neutro líquido</t>
  </si>
  <si>
    <t>Desinfetante de uso geral</t>
  </si>
  <si>
    <t>Desodorizador de ar de 360 ml (tipo aerossol)</t>
  </si>
  <si>
    <t>unidade</t>
  </si>
  <si>
    <t>Limpa vidros, frasco de 500 ml</t>
  </si>
  <si>
    <t>Limpador Multiuso</t>
  </si>
  <si>
    <t>Polidor de metais, 200 ml</t>
  </si>
  <si>
    <t>Sabão em pó</t>
  </si>
  <si>
    <t>kg</t>
  </si>
  <si>
    <r>
      <rPr>
        <sz val="10"/>
        <rFont val="Arial"/>
        <family val="2"/>
        <charset val="1"/>
      </rPr>
      <t xml:space="preserve">Saponáceo líquido, </t>
    </r>
    <r>
      <rPr>
        <sz val="10"/>
        <color rgb="FFFF0000"/>
        <rFont val="Arial"/>
        <family val="2"/>
        <charset val="1"/>
      </rPr>
      <t>com 300 ml</t>
    </r>
  </si>
  <si>
    <t>Pedra desodorante para mictório</t>
  </si>
  <si>
    <t>CUSTO ANUAL DOS SANEANTES DOMISSANITÁRIOS</t>
  </si>
  <si>
    <t>CUSTO MENSAL DOS SANEANTES DOMISSANITÁRIOS</t>
  </si>
  <si>
    <r>
      <rPr>
        <b/>
        <sz val="10"/>
        <color rgb="FF000080"/>
        <rFont val="Arial"/>
        <family val="2"/>
        <charset val="1"/>
      </rPr>
      <t xml:space="preserve">Materiais de Limpeza – </t>
    </r>
    <r>
      <rPr>
        <b/>
        <sz val="15"/>
        <color rgb="FF000080"/>
        <rFont val="Arial"/>
        <family val="2"/>
        <charset val="1"/>
      </rPr>
      <t>COMPLEMENTARES</t>
    </r>
  </si>
  <si>
    <t>Papel higiênico branco de alta qualidade, tipo personal, Nice ou similar, rolo de 300m x 10 cm</t>
  </si>
  <si>
    <t>Papel toalha branco 100% celulose interfolhado com 1000 folhas 20cm x 21cm</t>
  </si>
  <si>
    <t>pacote</t>
  </si>
  <si>
    <t>Sabonete líquido para mãos, cremoso, 5 litros (galão)</t>
  </si>
  <si>
    <t>CUSTO ANUAL DOS MATERIAIS DE LIMPEZA – COMPLEMENTARES</t>
  </si>
  <si>
    <t>CUSTO MENSAL DOS  MATERIAIS DE LIMPEZA – COMPLEMENTARES</t>
  </si>
  <si>
    <t>UTENSÍLIOS</t>
  </si>
  <si>
    <t>Quantidade a disponibilizar</t>
  </si>
  <si>
    <t>Vida Útil   (em meses)</t>
  </si>
  <si>
    <t>Balde plástico, 20 litros</t>
  </si>
  <si>
    <t>Cabo extensor 3 metros</t>
  </si>
  <si>
    <t>Desentupidor de pia</t>
  </si>
  <si>
    <t>Desentupidor de vaso sanitário</t>
  </si>
  <si>
    <t>Escova nylon manual, cerdas duras (escova de mão)</t>
  </si>
  <si>
    <t>Escova para vaso sanitário</t>
  </si>
  <si>
    <t>Esponja dupla face</t>
  </si>
  <si>
    <t xml:space="preserve">Extensão elétrica com cabo PP - comprimento = 50m </t>
  </si>
  <si>
    <t>Varal portátil para secagem de panos</t>
  </si>
  <si>
    <t>Prendedor de roupas, pacote com 12 unidades</t>
  </si>
  <si>
    <t>Pá de Lixo, com cabo longo</t>
  </si>
  <si>
    <t>Flanela macia para remoção de pó</t>
  </si>
  <si>
    <t>Pano de chão, 100% algodão 50x70 cm</t>
  </si>
  <si>
    <t>Rodo com  2 borrachas - 40cm de largura, com cabo</t>
  </si>
  <si>
    <t>Saco de lixo 100L, pacote 100 unidades</t>
  </si>
  <si>
    <t>Saco de lixo 40L, pacote 100 unidades</t>
  </si>
  <si>
    <t>Vassoura de nylon 30cm c/ cabo de madeira plastificado, cerdas duras</t>
  </si>
  <si>
    <t>MOP abrasivo para limpeza pesada com cabo</t>
  </si>
  <si>
    <t>Refil p/ MOP abrasivo</t>
  </si>
  <si>
    <t>Rodo limpa vidros</t>
  </si>
  <si>
    <t>Borrifador de líquidos, com bico borrifador, cap.: 500 ml</t>
  </si>
  <si>
    <t xml:space="preserve">CUSTO ANUAL DOS UTENSÍLIOS </t>
  </si>
  <si>
    <t xml:space="preserve">CUSTO MENSAL DOS UTENSÍLIOS </t>
  </si>
  <si>
    <t>EQUIPAMENTOS</t>
  </si>
  <si>
    <t>Depreciação (em meses)</t>
  </si>
  <si>
    <t>Lavador a jato de alta pressão</t>
  </si>
  <si>
    <t>Mangueira com 50 metros</t>
  </si>
  <si>
    <t>Carro Estação de limpeza multifuncional com bolsa de vinil</t>
  </si>
  <si>
    <t>Escada de alumínio de 3 degraus</t>
  </si>
  <si>
    <t>Escada de alumínio de 6 a 8 degraus</t>
  </si>
  <si>
    <t>Aspirador de pó e água</t>
  </si>
  <si>
    <t>Placas sinalizadoras</t>
  </si>
  <si>
    <t xml:space="preserve">CUSTO ANUAL DOS EQUIPAMENTOS </t>
  </si>
  <si>
    <t xml:space="preserve">CUSTO MENSAL DOS EQUIPAMENTOS </t>
  </si>
  <si>
    <t>UNIFORMES</t>
  </si>
  <si>
    <t>Calça de tecido de algodão (tipo BRIM)</t>
  </si>
  <si>
    <t>Camiseta de manga curta com logotipo e nome da contratada</t>
  </si>
  <si>
    <t>Camiseta de manga longa com logotipo e nome da contratada</t>
  </si>
  <si>
    <t>Jaqueta, forrada com elástico nos punhos e firme com logotipo e nome da contratada</t>
  </si>
  <si>
    <t>Calçado tipo botina de couro, em PU com solado antiderrapante, resistente a choque elétrico</t>
  </si>
  <si>
    <t>par</t>
  </si>
  <si>
    <t xml:space="preserve">Luva látex forrada </t>
  </si>
  <si>
    <t>CUSTO ANUAL DOS UNIFORMES PARA 1 SERVENTE</t>
  </si>
  <si>
    <t>CUSTO MENSAL DOS UNIFORMES PARA 1 SERVENTE</t>
  </si>
  <si>
    <t>QUADRO RESUMO</t>
  </si>
  <si>
    <t>CUSTO PARA 30 MESES</t>
  </si>
  <si>
    <t>CUSTO MENSAL</t>
  </si>
  <si>
    <t>Custo Mensal por SERVENTE</t>
  </si>
  <si>
    <t xml:space="preserve">Materiais de Limpeza – SANEANTES DOMISSANITÁRIOS </t>
  </si>
  <si>
    <t>Materiais de Limpeza – COMPLEMENTARES</t>
  </si>
  <si>
    <t>Materiais de Limpeza – UTENSÍLIOS</t>
  </si>
  <si>
    <t>MATERIAIS</t>
  </si>
  <si>
    <t>TOTAIS</t>
  </si>
  <si>
    <t>Quantidade da mão de obra alocada na prestação dos serviços</t>
  </si>
  <si>
    <t>OBS.: Pesquisa de preços realizada no Painel de preços do Governo Federal pelo site: http://paineldeprecos.planejamento.gov.br/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</si>
</sst>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\-??_);_(@_)"/>
    <numFmt numFmtId="165" formatCode="[$R$-416]\ #,##0.00;[Red]\-[$R$-416]\ #,##0.00"/>
    <numFmt numFmtId="166" formatCode="0.000%"/>
    <numFmt numFmtId="167" formatCode="0.0000"/>
    <numFmt numFmtId="168" formatCode="0.0000%"/>
    <numFmt numFmtId="169" formatCode="&quot;R$ &quot;#,##0.00"/>
    <numFmt numFmtId="170" formatCode="#,##0.0000000"/>
    <numFmt numFmtId="171" formatCode="#,##0.00_);\(#,##0.00\)"/>
    <numFmt numFmtId="172" formatCode="0.0"/>
    <numFmt numFmtId="173" formatCode="_(&quot;R$ &quot;* #,##0.00_);_(&quot;R$ &quot;* \(#,##0.00\);_(&quot;R$ &quot;* \-??_);_(@_)"/>
  </numFmts>
  <fonts count="41" x14ac:knownFonts="1">
    <font>
      <sz val="10"/>
      <name val="Arial"/>
      <family val="2"/>
      <charset val="1"/>
    </font>
    <font>
      <b/>
      <sz val="18"/>
      <color rgb="FF800080"/>
      <name val="Arial"/>
      <family val="2"/>
      <charset val="1"/>
    </font>
    <font>
      <b/>
      <sz val="18"/>
      <name val="Arial"/>
      <family val="2"/>
      <charset val="1"/>
    </font>
    <font>
      <b/>
      <sz val="18"/>
      <color rgb="FFFF0000"/>
      <name val="Arial"/>
      <family val="2"/>
      <charset val="1"/>
    </font>
    <font>
      <b/>
      <sz val="18"/>
      <color rgb="FF0000FF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1"/>
      <name val="Arial"/>
      <family val="2"/>
      <charset val="1"/>
    </font>
    <font>
      <sz val="12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5"/>
      <name val="Arial"/>
      <family val="2"/>
      <charset val="1"/>
    </font>
    <font>
      <b/>
      <sz val="12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0"/>
      <color rgb="FF009900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trike/>
      <sz val="10"/>
      <color rgb="FF009900"/>
      <name val="Arial"/>
      <family val="2"/>
      <charset val="1"/>
    </font>
    <font>
      <b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/>
      <sz val="9"/>
      <name val="Arial"/>
      <family val="2"/>
      <charset val="1"/>
    </font>
    <font>
      <sz val="10"/>
      <color rgb="FFFF3333"/>
      <name val="Arial"/>
      <family val="2"/>
      <charset val="1"/>
    </font>
    <font>
      <b/>
      <sz val="10"/>
      <color rgb="FFFF3333"/>
      <name val="Arial"/>
      <family val="2"/>
      <charset val="1"/>
    </font>
    <font>
      <sz val="9"/>
      <name val="Arial"/>
      <family val="2"/>
      <charset val="1"/>
    </font>
    <font>
      <sz val="9"/>
      <color rgb="FFFF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0"/>
      <color rgb="FF000000"/>
      <name val="Arial"/>
      <family val="1"/>
      <charset val="1"/>
    </font>
    <font>
      <b/>
      <sz val="10"/>
      <color rgb="FFFF6600"/>
      <name val="Arial"/>
      <family val="2"/>
      <charset val="1"/>
    </font>
    <font>
      <b/>
      <sz val="14"/>
      <name val="Arial"/>
      <family val="2"/>
      <charset val="1"/>
    </font>
    <font>
      <b/>
      <sz val="14"/>
      <color rgb="FFFF0000"/>
      <name val="Arial"/>
      <family val="2"/>
      <charset val="1"/>
    </font>
    <font>
      <b/>
      <sz val="8"/>
      <name val="Arial"/>
      <family val="2"/>
      <charset val="1"/>
    </font>
    <font>
      <b/>
      <sz val="10"/>
      <color rgb="FFED1C24"/>
      <name val="Arial"/>
      <family val="2"/>
      <charset val="1"/>
    </font>
    <font>
      <b/>
      <sz val="14"/>
      <color rgb="FF00008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15"/>
      <color rgb="FF000080"/>
      <name val="Arial"/>
      <family val="2"/>
      <charset val="1"/>
    </font>
    <font>
      <b/>
      <sz val="12"/>
      <color rgb="FF000080"/>
      <name val="Arial"/>
      <family val="2"/>
      <charset val="1"/>
    </font>
    <font>
      <b/>
      <sz val="15"/>
      <color rgb="FF0000FF"/>
      <name val="Arial"/>
      <family val="2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B2B2B2"/>
        <bgColor rgb="FF969696"/>
      </patternFill>
    </fill>
    <fill>
      <patternFill patternType="solid">
        <fgColor rgb="FF1824CE"/>
        <bgColor rgb="FF0000FF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164" fontId="40" fillId="0" borderId="0" applyBorder="0" applyProtection="0"/>
    <xf numFmtId="173" fontId="40" fillId="0" borderId="0" applyBorder="0" applyProtection="0"/>
  </cellStyleXfs>
  <cellXfs count="243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6" fillId="0" borderId="0" xfId="0" applyFont="1"/>
    <xf numFmtId="4" fontId="6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 vertical="center" wrapText="1"/>
    </xf>
    <xf numFmtId="4" fontId="7" fillId="0" borderId="1" xfId="1" applyNumberFormat="1" applyFont="1" applyBorder="1" applyAlignment="1" applyProtection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 wrapText="1"/>
    </xf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10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165" fontId="0" fillId="0" borderId="0" xfId="0" applyNumberFormat="1"/>
    <xf numFmtId="4" fontId="8" fillId="2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4" fontId="6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10" fontId="6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9" fontId="6" fillId="0" borderId="1" xfId="0" applyNumberFormat="1" applyFont="1" applyBorder="1" applyAlignment="1">
      <alignment horizontal="left" vertical="center" wrapText="1"/>
    </xf>
    <xf numFmtId="167" fontId="6" fillId="0" borderId="1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right" vertical="center"/>
    </xf>
    <xf numFmtId="168" fontId="6" fillId="2" borderId="1" xfId="0" applyNumberFormat="1" applyFont="1" applyFill="1" applyBorder="1" applyAlignment="1">
      <alignment horizontal="right" vertical="center"/>
    </xf>
    <xf numFmtId="169" fontId="18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 applyProtection="1">
      <alignment vertical="center"/>
    </xf>
    <xf numFmtId="3" fontId="18" fillId="0" borderId="1" xfId="0" applyNumberFormat="1" applyFont="1" applyBorder="1" applyAlignment="1" applyProtection="1">
      <alignment vertical="center"/>
    </xf>
    <xf numFmtId="0" fontId="20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vertical="center"/>
    </xf>
    <xf numFmtId="2" fontId="6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0" fontId="19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4" fontId="6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/>
    </xf>
    <xf numFmtId="4" fontId="6" fillId="0" borderId="1" xfId="0" applyNumberFormat="1" applyFont="1" applyBorder="1" applyAlignment="1"/>
    <xf numFmtId="0" fontId="11" fillId="0" borderId="1" xfId="0" applyFont="1" applyBorder="1" applyAlignment="1">
      <alignment horizontal="center"/>
    </xf>
    <xf numFmtId="4" fontId="6" fillId="2" borderId="1" xfId="0" applyNumberFormat="1" applyFont="1" applyFill="1" applyBorder="1" applyAlignment="1">
      <alignment horizontal="right"/>
    </xf>
    <xf numFmtId="4" fontId="8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righ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0" fillId="0" borderId="0" xfId="0" applyFont="1" applyAlignment="1">
      <alignment horizontal="left"/>
    </xf>
    <xf numFmtId="49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71" fontId="7" fillId="2" borderId="1" xfId="0" applyNumberFormat="1" applyFont="1" applyFill="1" applyBorder="1" applyAlignment="1">
      <alignment horizontal="right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71" fontId="6" fillId="0" borderId="1" xfId="0" applyNumberFormat="1" applyFont="1" applyBorder="1" applyAlignment="1">
      <alignment horizontal="right"/>
    </xf>
    <xf numFmtId="165" fontId="6" fillId="0" borderId="0" xfId="0" applyNumberFormat="1" applyFont="1"/>
    <xf numFmtId="165" fontId="6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71" fontId="7" fillId="0" borderId="1" xfId="0" applyNumberFormat="1" applyFont="1" applyBorder="1" applyAlignment="1">
      <alignment horizontal="right"/>
    </xf>
    <xf numFmtId="165" fontId="26" fillId="0" borderId="0" xfId="0" applyNumberFormat="1" applyFont="1" applyAlignment="1">
      <alignment horizontal="center" vertical="center"/>
    </xf>
    <xf numFmtId="165" fontId="33" fillId="0" borderId="0" xfId="0" applyNumberFormat="1" applyFont="1" applyAlignment="1">
      <alignment horizontal="center" vertical="center"/>
    </xf>
    <xf numFmtId="164" fontId="0" fillId="0" borderId="0" xfId="1" applyFont="1" applyBorder="1" applyAlignment="1" applyProtection="1">
      <alignment horizontal="right" vertical="center"/>
    </xf>
    <xf numFmtId="0" fontId="36" fillId="6" borderId="1" xfId="0" applyFont="1" applyFill="1" applyBorder="1" applyAlignment="1">
      <alignment horizontal="center" vertical="center" wrapText="1"/>
    </xf>
    <xf numFmtId="164" fontId="36" fillId="6" borderId="1" xfId="1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4" fontId="0" fillId="0" borderId="1" xfId="1" applyNumberFormat="1" applyFont="1" applyBorder="1" applyAlignment="1" applyProtection="1">
      <alignment horizontal="right" vertical="center" wrapText="1"/>
    </xf>
    <xf numFmtId="164" fontId="0" fillId="0" borderId="1" xfId="1" applyFont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4" fontId="0" fillId="0" borderId="1" xfId="1" applyNumberFormat="1" applyFont="1" applyBorder="1" applyAlignment="1" applyProtection="1">
      <alignment horizontal="right" vertical="center"/>
    </xf>
    <xf numFmtId="0" fontId="0" fillId="3" borderId="1" xfId="0" applyFont="1" applyFill="1" applyBorder="1" applyAlignment="1">
      <alignment horizontal="left" vertical="center"/>
    </xf>
    <xf numFmtId="0" fontId="0" fillId="7" borderId="0" xfId="0" applyFont="1" applyFill="1" applyAlignment="1">
      <alignment vertical="center"/>
    </xf>
    <xf numFmtId="164" fontId="6" fillId="6" borderId="1" xfId="1" applyFont="1" applyFill="1" applyBorder="1" applyAlignment="1" applyProtection="1">
      <alignment horizontal="right" vertical="center"/>
    </xf>
    <xf numFmtId="0" fontId="11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164" fontId="36" fillId="0" borderId="0" xfId="1" applyFont="1" applyBorder="1" applyAlignment="1" applyProtection="1">
      <alignment horizontal="right" vertical="center"/>
    </xf>
    <xf numFmtId="0" fontId="0" fillId="0" borderId="0" xfId="0" applyFont="1" applyBorder="1" applyAlignment="1">
      <alignment vertical="center"/>
    </xf>
    <xf numFmtId="164" fontId="0" fillId="0" borderId="1" xfId="1" applyFont="1" applyBorder="1" applyAlignment="1" applyProtection="1">
      <alignment horizontal="right" vertical="center"/>
    </xf>
    <xf numFmtId="164" fontId="6" fillId="6" borderId="1" xfId="1" applyFont="1" applyFill="1" applyBorder="1" applyAlignment="1" applyProtection="1">
      <alignment horizontal="center" vertical="center" wrapText="1"/>
    </xf>
    <xf numFmtId="4" fontId="6" fillId="6" borderId="1" xfId="0" applyNumberFormat="1" applyFont="1" applyFill="1" applyBorder="1" applyAlignment="1">
      <alignment vertical="center"/>
    </xf>
    <xf numFmtId="0" fontId="37" fillId="6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172" fontId="0" fillId="0" borderId="1" xfId="0" applyNumberFormat="1" applyFont="1" applyBorder="1" applyAlignment="1">
      <alignment horizontal="center" vertical="center"/>
    </xf>
    <xf numFmtId="4" fontId="0" fillId="0" borderId="1" xfId="2" applyNumberFormat="1" applyFont="1" applyBorder="1" applyAlignment="1" applyProtection="1">
      <alignment horizontal="right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>
      <alignment horizontal="left" vertical="center" wrapText="1" shrinkToFit="1"/>
    </xf>
    <xf numFmtId="4" fontId="6" fillId="6" borderId="1" xfId="2" applyNumberFormat="1" applyFont="1" applyFill="1" applyBorder="1" applyAlignment="1" applyProtection="1">
      <alignment horizontal="right" vertical="center"/>
    </xf>
    <xf numFmtId="4" fontId="6" fillId="6" borderId="1" xfId="1" applyNumberFormat="1" applyFont="1" applyFill="1" applyBorder="1" applyAlignment="1" applyProtection="1">
      <alignment horizontal="right" vertical="center"/>
    </xf>
    <xf numFmtId="0" fontId="0" fillId="3" borderId="1" xfId="0" applyFont="1" applyFill="1" applyBorder="1" applyAlignment="1">
      <alignment vertical="center" wrapText="1"/>
    </xf>
    <xf numFmtId="0" fontId="35" fillId="6" borderId="1" xfId="0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164" fontId="10" fillId="0" borderId="1" xfId="1" applyFont="1" applyBorder="1" applyAlignment="1" applyProtection="1">
      <alignment horizontal="right" vertical="center"/>
    </xf>
    <xf numFmtId="4" fontId="10" fillId="0" borderId="1" xfId="1" applyNumberFormat="1" applyFont="1" applyBorder="1" applyAlignment="1" applyProtection="1">
      <alignment horizontal="right" vertical="center"/>
    </xf>
    <xf numFmtId="4" fontId="11" fillId="6" borderId="1" xfId="1" applyNumberFormat="1" applyFont="1" applyFill="1" applyBorder="1" applyAlignment="1" applyProtection="1">
      <alignment horizontal="right" vertical="center"/>
    </xf>
    <xf numFmtId="0" fontId="37" fillId="6" borderId="1" xfId="0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4" fontId="36" fillId="0" borderId="0" xfId="0" applyNumberFormat="1" applyFont="1" applyBorder="1" applyAlignment="1">
      <alignment horizontal="right" vertical="center"/>
    </xf>
    <xf numFmtId="0" fontId="39" fillId="6" borderId="1" xfId="0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right" vertical="center" wrapText="1"/>
    </xf>
    <xf numFmtId="0" fontId="31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4" fontId="6" fillId="0" borderId="1" xfId="0" applyNumberFormat="1" applyFont="1" applyBorder="1" applyAlignment="1">
      <alignment horizontal="right" vertical="center" wrapText="1"/>
    </xf>
    <xf numFmtId="0" fontId="30" fillId="0" borderId="1" xfId="0" applyFont="1" applyBorder="1" applyAlignment="1">
      <alignment horizontal="right"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wrapText="1"/>
    </xf>
    <xf numFmtId="4" fontId="6" fillId="0" borderId="1" xfId="0" applyNumberFormat="1" applyFont="1" applyBorder="1" applyAlignment="1">
      <alignment horizontal="center" vertical="center"/>
    </xf>
    <xf numFmtId="171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right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righ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4" fontId="7" fillId="0" borderId="11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justify" vertical="center" wrapText="1"/>
    </xf>
    <xf numFmtId="4" fontId="7" fillId="0" borderId="9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lef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0" fontId="38" fillId="6" borderId="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/>
    </xf>
    <xf numFmtId="164" fontId="0" fillId="0" borderId="1" xfId="1" applyFont="1" applyBorder="1" applyAlignment="1" applyProtection="1">
      <alignment horizontal="center" vertical="center"/>
    </xf>
    <xf numFmtId="4" fontId="36" fillId="6" borderId="1" xfId="0" applyNumberFormat="1" applyFont="1" applyFill="1" applyBorder="1" applyAlignment="1">
      <alignment horizontal="right" vertical="center"/>
    </xf>
    <xf numFmtId="164" fontId="19" fillId="6" borderId="1" xfId="1" applyFont="1" applyFill="1" applyBorder="1" applyAlignment="1" applyProtection="1">
      <alignment horizontal="center" vertical="center"/>
    </xf>
    <xf numFmtId="4" fontId="6" fillId="6" borderId="1" xfId="0" applyNumberFormat="1" applyFont="1" applyFill="1" applyBorder="1" applyAlignment="1">
      <alignment horizontal="right" vertical="center"/>
    </xf>
    <xf numFmtId="164" fontId="6" fillId="6" borderId="1" xfId="1" applyFont="1" applyFill="1" applyBorder="1" applyAlignment="1" applyProtection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0" fontId="11" fillId="6" borderId="1" xfId="0" applyFont="1" applyFill="1" applyBorder="1" applyAlignment="1">
      <alignment horizontal="right" vertical="center"/>
    </xf>
    <xf numFmtId="0" fontId="37" fillId="6" borderId="1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right" vertical="center" wrapText="1"/>
    </xf>
    <xf numFmtId="0" fontId="34" fillId="0" borderId="1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B2B2B2"/>
      <rgbColor rgb="FF808080"/>
      <rgbColor rgb="FF9999FF"/>
      <rgbColor rgb="FFFF3333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ED1C24"/>
      <rgbColor rgb="FF993366"/>
      <rgbColor rgb="FF1824CE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8"/>
  <sheetViews>
    <sheetView tabSelected="1" view="pageBreakPreview" topLeftCell="A149" zoomScaleNormal="100" zoomScaleSheetLayoutView="100" zoomScalePageLayoutView="120" workbookViewId="0">
      <selection sqref="A1:J1"/>
    </sheetView>
  </sheetViews>
  <sheetFormatPr defaultRowHeight="12.75" x14ac:dyDescent="0.2"/>
  <cols>
    <col min="1" max="10" width="10.85546875" customWidth="1"/>
    <col min="11" max="11" width="14" customWidth="1"/>
    <col min="12" max="12" width="12.42578125" customWidth="1"/>
    <col min="13" max="13" width="12.28515625" customWidth="1"/>
    <col min="14" max="1025" width="10.85546875" customWidth="1"/>
  </cols>
  <sheetData>
    <row r="1" spans="1:10" ht="24.2" customHeigh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</row>
    <row r="2" spans="1:10" ht="46.5" customHeight="1" x14ac:dyDescent="0.2">
      <c r="A2" s="214" t="s">
        <v>1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4.65" customHeight="1" x14ac:dyDescent="0.2">
      <c r="A3" s="142" t="s">
        <v>2</v>
      </c>
      <c r="B3" s="142"/>
      <c r="C3" s="142"/>
      <c r="D3" s="142"/>
      <c r="E3" s="142"/>
      <c r="F3" s="142"/>
      <c r="G3" s="142"/>
      <c r="H3" s="211" t="s">
        <v>3</v>
      </c>
      <c r="I3" s="211"/>
      <c r="J3" s="211"/>
    </row>
    <row r="4" spans="1:10" ht="14.65" customHeight="1" x14ac:dyDescent="0.2">
      <c r="A4" s="142" t="s">
        <v>4</v>
      </c>
      <c r="B4" s="142"/>
      <c r="C4" s="142"/>
      <c r="D4" s="142"/>
      <c r="E4" s="142"/>
      <c r="F4" s="142"/>
      <c r="G4" s="142"/>
      <c r="H4" s="211"/>
      <c r="I4" s="211"/>
      <c r="J4" s="211"/>
    </row>
    <row r="5" spans="1:10" ht="14.65" customHeight="1" x14ac:dyDescent="0.2">
      <c r="A5" s="142" t="s">
        <v>5</v>
      </c>
      <c r="B5" s="142"/>
      <c r="C5" s="142"/>
      <c r="D5" s="142"/>
      <c r="E5" s="142"/>
      <c r="F5" s="142"/>
      <c r="G5" s="142"/>
      <c r="H5" s="142"/>
      <c r="I5" s="142"/>
      <c r="J5" s="142"/>
    </row>
    <row r="6" spans="1:10" ht="16.149999999999999" customHeight="1" x14ac:dyDescent="0.2">
      <c r="A6" s="215" t="s">
        <v>6</v>
      </c>
      <c r="B6" s="215"/>
      <c r="C6" s="215"/>
      <c r="D6" s="215"/>
      <c r="E6" s="215"/>
      <c r="F6" s="215"/>
      <c r="G6" s="215"/>
      <c r="H6" s="215"/>
      <c r="I6" s="215"/>
      <c r="J6" s="215"/>
    </row>
    <row r="7" spans="1:10" ht="14.65" customHeight="1" x14ac:dyDescent="0.2">
      <c r="A7" s="2" t="s">
        <v>7</v>
      </c>
      <c r="B7" s="142" t="s">
        <v>8</v>
      </c>
      <c r="C7" s="142"/>
      <c r="D7" s="142"/>
      <c r="E7" s="142"/>
      <c r="F7" s="142"/>
      <c r="G7" s="142"/>
      <c r="H7" s="209"/>
      <c r="I7" s="209"/>
      <c r="J7" s="209"/>
    </row>
    <row r="8" spans="1:10" ht="14.65" customHeight="1" x14ac:dyDescent="0.2">
      <c r="A8" s="2" t="s">
        <v>9</v>
      </c>
      <c r="B8" s="142" t="s">
        <v>10</v>
      </c>
      <c r="C8" s="142"/>
      <c r="D8" s="142"/>
      <c r="E8" s="142"/>
      <c r="F8" s="142"/>
      <c r="G8" s="142"/>
      <c r="H8" s="209" t="s">
        <v>11</v>
      </c>
      <c r="I8" s="209"/>
      <c r="J8" s="209"/>
    </row>
    <row r="9" spans="1:10" ht="39" customHeight="1" x14ac:dyDescent="0.2">
      <c r="A9" s="2" t="s">
        <v>12</v>
      </c>
      <c r="B9" s="142" t="s">
        <v>13</v>
      </c>
      <c r="C9" s="142"/>
      <c r="D9" s="142"/>
      <c r="E9" s="142"/>
      <c r="F9" s="142"/>
      <c r="G9" s="142"/>
      <c r="H9" s="210" t="s">
        <v>14</v>
      </c>
      <c r="I9" s="210"/>
      <c r="J9" s="210"/>
    </row>
    <row r="10" spans="1:10" ht="14.65" customHeight="1" x14ac:dyDescent="0.2">
      <c r="A10" s="2" t="s">
        <v>15</v>
      </c>
      <c r="B10" s="142" t="s">
        <v>16</v>
      </c>
      <c r="C10" s="142"/>
      <c r="D10" s="142"/>
      <c r="E10" s="142"/>
      <c r="F10" s="142"/>
      <c r="G10" s="142"/>
      <c r="H10" s="211">
        <v>30</v>
      </c>
      <c r="I10" s="211"/>
      <c r="J10" s="211"/>
    </row>
    <row r="11" spans="1:10" ht="16.149999999999999" customHeight="1" x14ac:dyDescent="0.2">
      <c r="A11" s="212" t="s">
        <v>17</v>
      </c>
      <c r="B11" s="212"/>
      <c r="C11" s="212"/>
      <c r="D11" s="212"/>
      <c r="E11" s="212"/>
      <c r="F11" s="212"/>
      <c r="G11" s="212"/>
      <c r="H11" s="212"/>
      <c r="I11" s="212"/>
      <c r="J11" s="212"/>
    </row>
    <row r="12" spans="1:10" ht="51" customHeight="1" x14ac:dyDescent="0.2">
      <c r="A12" s="161" t="s">
        <v>18</v>
      </c>
      <c r="B12" s="161"/>
      <c r="C12" s="161"/>
      <c r="D12" s="161"/>
      <c r="E12" s="161"/>
      <c r="F12" s="161"/>
      <c r="G12" s="161" t="s">
        <v>19</v>
      </c>
      <c r="H12" s="161"/>
      <c r="I12" s="161" t="s">
        <v>20</v>
      </c>
      <c r="J12" s="161"/>
    </row>
    <row r="13" spans="1:10" ht="14.65" customHeight="1" x14ac:dyDescent="0.2">
      <c r="A13" s="169" t="s">
        <v>21</v>
      </c>
      <c r="B13" s="169"/>
      <c r="C13" s="169"/>
      <c r="D13" s="169"/>
      <c r="E13" s="169"/>
      <c r="F13" s="169"/>
      <c r="G13" s="204" t="s">
        <v>22</v>
      </c>
      <c r="H13" s="204"/>
      <c r="I13" s="208">
        <v>0</v>
      </c>
      <c r="J13" s="208"/>
    </row>
    <row r="14" spans="1:10" ht="14.65" customHeight="1" x14ac:dyDescent="0.2">
      <c r="A14" s="169" t="s">
        <v>23</v>
      </c>
      <c r="B14" s="169"/>
      <c r="C14" s="169"/>
      <c r="D14" s="169"/>
      <c r="E14" s="169"/>
      <c r="F14" s="169"/>
      <c r="G14" s="204" t="s">
        <v>22</v>
      </c>
      <c r="H14" s="204"/>
      <c r="I14" s="208">
        <v>1185.76</v>
      </c>
      <c r="J14" s="208"/>
    </row>
    <row r="15" spans="1:10" ht="14.65" customHeight="1" x14ac:dyDescent="0.2">
      <c r="A15" s="169" t="s">
        <v>24</v>
      </c>
      <c r="B15" s="169"/>
      <c r="C15" s="169"/>
      <c r="D15" s="169"/>
      <c r="E15" s="169"/>
      <c r="F15" s="169"/>
      <c r="G15" s="204" t="s">
        <v>22</v>
      </c>
      <c r="H15" s="204"/>
      <c r="I15" s="208">
        <v>237.26</v>
      </c>
      <c r="J15" s="208"/>
    </row>
    <row r="16" spans="1:10" ht="14.65" customHeight="1" x14ac:dyDescent="0.2">
      <c r="A16" s="169" t="s">
        <v>25</v>
      </c>
      <c r="B16" s="169"/>
      <c r="C16" s="169"/>
      <c r="D16" s="169"/>
      <c r="E16" s="169"/>
      <c r="F16" s="169"/>
      <c r="G16" s="204" t="s">
        <v>22</v>
      </c>
      <c r="H16" s="204"/>
      <c r="I16" s="208">
        <v>89.31</v>
      </c>
      <c r="J16" s="208"/>
    </row>
    <row r="17" spans="1:11" ht="14.65" customHeight="1" x14ac:dyDescent="0.2">
      <c r="A17" s="169" t="s">
        <v>26</v>
      </c>
      <c r="B17" s="169"/>
      <c r="C17" s="169"/>
      <c r="D17" s="169"/>
      <c r="E17" s="169"/>
      <c r="F17" s="169"/>
      <c r="G17" s="204" t="s">
        <v>22</v>
      </c>
      <c r="H17" s="204"/>
      <c r="I17" s="208">
        <v>0</v>
      </c>
      <c r="J17" s="208"/>
    </row>
    <row r="18" spans="1:11" ht="14.65" customHeight="1" x14ac:dyDescent="0.2">
      <c r="A18" s="169" t="s">
        <v>27</v>
      </c>
      <c r="B18" s="169"/>
      <c r="C18" s="169"/>
      <c r="D18" s="169" t="s">
        <v>28</v>
      </c>
      <c r="E18" s="169" t="s">
        <v>29</v>
      </c>
      <c r="F18" s="169" t="s">
        <v>30</v>
      </c>
      <c r="G18" s="204" t="s">
        <v>22</v>
      </c>
      <c r="H18" s="204"/>
      <c r="I18" s="208">
        <v>305.70999999999998</v>
      </c>
      <c r="J18" s="208"/>
    </row>
    <row r="19" spans="1:11" ht="12.75" customHeight="1" x14ac:dyDescent="0.2">
      <c r="A19" s="169" t="s">
        <v>31</v>
      </c>
      <c r="B19" s="169"/>
      <c r="C19" s="169"/>
      <c r="D19" s="169"/>
      <c r="E19" s="169"/>
      <c r="F19" s="169"/>
      <c r="G19" s="206" t="s">
        <v>22</v>
      </c>
      <c r="H19" s="206"/>
      <c r="I19" s="207">
        <v>98.76</v>
      </c>
      <c r="J19" s="207"/>
    </row>
    <row r="20" spans="1:11" ht="14.65" customHeight="1" x14ac:dyDescent="0.2">
      <c r="A20" s="205" t="s">
        <v>32</v>
      </c>
      <c r="B20" s="205"/>
      <c r="C20" s="205"/>
      <c r="D20" s="205"/>
      <c r="E20" s="205"/>
      <c r="F20" s="205"/>
      <c r="G20" s="205"/>
      <c r="H20" s="205"/>
      <c r="I20" s="152">
        <f>ROUND(I13+I14+I15+I16+I17+I18+I19,2)</f>
        <v>1916.8</v>
      </c>
      <c r="J20" s="152"/>
      <c r="K20" s="9"/>
    </row>
    <row r="21" spans="1:11" ht="12.75" customHeight="1" x14ac:dyDescent="0.2">
      <c r="A21" s="182"/>
      <c r="B21" s="182"/>
      <c r="C21" s="182"/>
      <c r="D21" s="182"/>
      <c r="E21" s="182"/>
      <c r="F21" s="182"/>
      <c r="G21" s="182"/>
      <c r="H21" s="182"/>
      <c r="I21" s="182"/>
      <c r="J21" s="182"/>
    </row>
    <row r="22" spans="1:11" ht="14.65" customHeight="1" x14ac:dyDescent="0.2">
      <c r="A22" s="169" t="s">
        <v>33</v>
      </c>
      <c r="B22" s="169"/>
      <c r="C22" s="169"/>
      <c r="D22" s="169"/>
      <c r="E22" s="169"/>
      <c r="F22" s="169"/>
      <c r="G22" s="169"/>
      <c r="H22" s="204" t="s">
        <v>22</v>
      </c>
      <c r="I22" s="204"/>
      <c r="J22" s="10">
        <v>0</v>
      </c>
    </row>
    <row r="23" spans="1:11" ht="14.65" customHeight="1" x14ac:dyDescent="0.2">
      <c r="A23" s="169" t="s">
        <v>34</v>
      </c>
      <c r="B23" s="169"/>
      <c r="C23" s="169"/>
      <c r="D23" s="169"/>
      <c r="E23" s="169"/>
      <c r="F23" s="169"/>
      <c r="G23" s="169"/>
      <c r="H23" s="137" t="s">
        <v>22</v>
      </c>
      <c r="I23" s="137"/>
      <c r="J23" s="10">
        <v>6975.29</v>
      </c>
    </row>
    <row r="24" spans="1:11" ht="14.65" customHeight="1" x14ac:dyDescent="0.2">
      <c r="A24" s="169" t="s">
        <v>35</v>
      </c>
      <c r="B24" s="169"/>
      <c r="C24" s="169"/>
      <c r="D24" s="169"/>
      <c r="E24" s="169"/>
      <c r="F24" s="169"/>
      <c r="G24" s="169"/>
      <c r="H24" s="204" t="s">
        <v>22</v>
      </c>
      <c r="I24" s="204"/>
      <c r="J24" s="10">
        <v>0</v>
      </c>
    </row>
    <row r="25" spans="1:11" ht="14.65" customHeight="1" x14ac:dyDescent="0.2">
      <c r="A25" s="169" t="s">
        <v>36</v>
      </c>
      <c r="B25" s="169"/>
      <c r="C25" s="169"/>
      <c r="D25" s="169"/>
      <c r="E25" s="169"/>
      <c r="F25" s="169"/>
      <c r="G25" s="169"/>
      <c r="H25" s="137" t="s">
        <v>22</v>
      </c>
      <c r="I25" s="137"/>
      <c r="J25" s="10">
        <v>0</v>
      </c>
    </row>
    <row r="26" spans="1:11" ht="14.65" customHeight="1" x14ac:dyDescent="0.2">
      <c r="A26" s="169" t="s">
        <v>37</v>
      </c>
      <c r="B26" s="169"/>
      <c r="C26" s="169"/>
      <c r="D26" s="169"/>
      <c r="E26" s="169"/>
      <c r="F26" s="169"/>
      <c r="G26" s="169"/>
      <c r="H26" s="137" t="s">
        <v>22</v>
      </c>
      <c r="I26" s="137"/>
      <c r="J26" s="10">
        <v>0</v>
      </c>
    </row>
    <row r="27" spans="1:11" ht="14.65" customHeight="1" x14ac:dyDescent="0.2">
      <c r="A27" s="169" t="s">
        <v>38</v>
      </c>
      <c r="B27" s="169"/>
      <c r="C27" s="169"/>
      <c r="D27" s="169"/>
      <c r="E27" s="169"/>
      <c r="F27" s="169"/>
      <c r="G27" s="169"/>
      <c r="H27" s="204" t="s">
        <v>22</v>
      </c>
      <c r="I27" s="204"/>
      <c r="J27" s="10">
        <v>8992.76</v>
      </c>
    </row>
    <row r="28" spans="1:11" ht="14.65" customHeight="1" x14ac:dyDescent="0.2">
      <c r="A28" s="205" t="s">
        <v>39</v>
      </c>
      <c r="B28" s="205"/>
      <c r="C28" s="205"/>
      <c r="D28" s="205"/>
      <c r="E28" s="205"/>
      <c r="F28" s="205"/>
      <c r="G28" s="205"/>
      <c r="H28" s="205"/>
      <c r="I28" s="205"/>
      <c r="J28" s="8">
        <f>ROUND(J22+J23+J24+J25+J26+J27,2)</f>
        <v>15968.05</v>
      </c>
      <c r="K28" s="9"/>
    </row>
    <row r="29" spans="1:11" ht="12.75" customHeight="1" x14ac:dyDescent="0.2">
      <c r="A29" s="182"/>
      <c r="B29" s="182"/>
      <c r="C29" s="182"/>
      <c r="D29" s="182"/>
      <c r="E29" s="182"/>
      <c r="F29" s="182"/>
      <c r="G29" s="182"/>
      <c r="H29" s="182"/>
      <c r="I29" s="182"/>
      <c r="J29" s="182"/>
    </row>
    <row r="30" spans="1:11" ht="14.65" customHeight="1" x14ac:dyDescent="0.2">
      <c r="A30" s="169" t="s">
        <v>40</v>
      </c>
      <c r="B30" s="169"/>
      <c r="C30" s="169"/>
      <c r="D30" s="169"/>
      <c r="E30" s="169"/>
      <c r="F30" s="169"/>
      <c r="G30" s="169"/>
      <c r="H30" s="204" t="s">
        <v>22</v>
      </c>
      <c r="I30" s="204"/>
      <c r="J30" s="10">
        <v>0</v>
      </c>
    </row>
    <row r="31" spans="1:11" ht="14.65" customHeight="1" x14ac:dyDescent="0.2">
      <c r="A31" s="169" t="s">
        <v>41</v>
      </c>
      <c r="B31" s="169"/>
      <c r="C31" s="169"/>
      <c r="D31" s="169"/>
      <c r="E31" s="169"/>
      <c r="F31" s="169"/>
      <c r="G31" s="169"/>
      <c r="H31" s="204" t="s">
        <v>22</v>
      </c>
      <c r="I31" s="204"/>
      <c r="J31" s="10">
        <v>320.58</v>
      </c>
    </row>
    <row r="32" spans="1:11" ht="14.65" customHeight="1" x14ac:dyDescent="0.2">
      <c r="A32" s="169" t="s">
        <v>42</v>
      </c>
      <c r="B32" s="169"/>
      <c r="C32" s="169"/>
      <c r="D32" s="169"/>
      <c r="E32" s="169"/>
      <c r="F32" s="169"/>
      <c r="G32" s="169"/>
      <c r="H32" s="204" t="s">
        <v>22</v>
      </c>
      <c r="I32" s="204"/>
      <c r="J32" s="10">
        <v>320.58</v>
      </c>
    </row>
    <row r="33" spans="1:11" x14ac:dyDescent="0.2">
      <c r="A33" s="203" t="s">
        <v>43</v>
      </c>
      <c r="B33" s="203"/>
      <c r="C33" s="203"/>
      <c r="D33" s="203"/>
      <c r="E33" s="203"/>
      <c r="F33" s="203"/>
      <c r="G33" s="203"/>
      <c r="H33" s="203"/>
      <c r="I33" s="203"/>
      <c r="J33" s="8">
        <f>ROUND(J30+J31+J32,2)</f>
        <v>641.16</v>
      </c>
      <c r="K33" s="9"/>
    </row>
    <row r="34" spans="1:11" x14ac:dyDescent="0.2">
      <c r="A34" s="182"/>
      <c r="B34" s="182"/>
      <c r="C34" s="182"/>
      <c r="D34" s="182"/>
      <c r="E34" s="182"/>
      <c r="F34" s="182"/>
      <c r="G34" s="182"/>
      <c r="H34" s="182"/>
      <c r="I34" s="182"/>
      <c r="J34" s="182"/>
    </row>
    <row r="35" spans="1:11" ht="14.65" customHeight="1" x14ac:dyDescent="0.2">
      <c r="A35" s="136" t="s">
        <v>44</v>
      </c>
      <c r="B35" s="136"/>
      <c r="C35" s="136"/>
      <c r="D35" s="136"/>
      <c r="E35" s="136"/>
      <c r="F35" s="136"/>
      <c r="G35" s="136"/>
      <c r="H35" s="204" t="s">
        <v>22</v>
      </c>
      <c r="I35" s="204"/>
      <c r="J35" s="10">
        <v>0</v>
      </c>
    </row>
    <row r="36" spans="1:11" ht="14.65" customHeight="1" x14ac:dyDescent="0.2">
      <c r="A36" s="205" t="s">
        <v>45</v>
      </c>
      <c r="B36" s="205"/>
      <c r="C36" s="205"/>
      <c r="D36" s="205"/>
      <c r="E36" s="205"/>
      <c r="F36" s="205"/>
      <c r="G36" s="205"/>
      <c r="H36" s="205"/>
      <c r="I36" s="205"/>
      <c r="J36" s="8">
        <f>J35</f>
        <v>0</v>
      </c>
    </row>
    <row r="37" spans="1:11" x14ac:dyDescent="0.2">
      <c r="A37" s="182"/>
      <c r="B37" s="182"/>
      <c r="C37" s="182"/>
      <c r="D37" s="182"/>
      <c r="E37" s="182"/>
      <c r="F37" s="182"/>
      <c r="G37" s="182"/>
      <c r="H37" s="182"/>
      <c r="I37" s="182"/>
      <c r="J37" s="182"/>
    </row>
    <row r="38" spans="1:11" x14ac:dyDescent="0.2">
      <c r="A38" s="136" t="s">
        <v>46</v>
      </c>
      <c r="B38" s="136"/>
      <c r="C38" s="136"/>
      <c r="D38" s="136"/>
      <c r="E38" s="136"/>
      <c r="F38" s="136"/>
      <c r="G38" s="136"/>
      <c r="H38" s="137" t="s">
        <v>22</v>
      </c>
      <c r="I38" s="137"/>
      <c r="J38" s="12">
        <v>0</v>
      </c>
    </row>
    <row r="39" spans="1:11" x14ac:dyDescent="0.2">
      <c r="A39" s="143" t="s">
        <v>47</v>
      </c>
      <c r="B39" s="143"/>
      <c r="C39" s="143"/>
      <c r="D39" s="143"/>
      <c r="E39" s="143"/>
      <c r="F39" s="143"/>
      <c r="G39" s="143"/>
      <c r="H39" s="143"/>
      <c r="I39" s="143"/>
      <c r="J39" s="8">
        <v>0</v>
      </c>
    </row>
    <row r="40" spans="1:11" x14ac:dyDescent="0.2">
      <c r="A40" s="182"/>
      <c r="B40" s="182"/>
      <c r="C40" s="182"/>
      <c r="D40" s="182"/>
      <c r="E40" s="182"/>
      <c r="F40" s="182"/>
      <c r="G40" s="182"/>
      <c r="H40" s="182"/>
      <c r="I40" s="182"/>
      <c r="J40" s="182"/>
    </row>
    <row r="41" spans="1:11" x14ac:dyDescent="0.2">
      <c r="A41" s="136" t="s">
        <v>48</v>
      </c>
      <c r="B41" s="136"/>
      <c r="C41" s="136"/>
      <c r="D41" s="136"/>
      <c r="E41" s="136"/>
      <c r="F41" s="136"/>
      <c r="G41" s="136"/>
      <c r="H41" s="137" t="s">
        <v>22</v>
      </c>
      <c r="I41" s="137"/>
      <c r="J41" s="12">
        <v>0</v>
      </c>
    </row>
    <row r="42" spans="1:11" x14ac:dyDescent="0.2">
      <c r="A42" s="203" t="s">
        <v>49</v>
      </c>
      <c r="B42" s="203"/>
      <c r="C42" s="203"/>
      <c r="D42" s="203"/>
      <c r="E42" s="203"/>
      <c r="F42" s="203"/>
      <c r="G42" s="203"/>
      <c r="H42" s="203"/>
      <c r="I42" s="203"/>
      <c r="J42" s="8">
        <v>0</v>
      </c>
    </row>
    <row r="43" spans="1:11" ht="12.75" customHeight="1" x14ac:dyDescent="0.2">
      <c r="A43" s="182"/>
      <c r="B43" s="182"/>
      <c r="C43" s="182"/>
      <c r="D43" s="182"/>
      <c r="E43" s="182"/>
      <c r="F43" s="182"/>
      <c r="G43" s="182"/>
      <c r="H43" s="182"/>
      <c r="I43" s="182"/>
      <c r="J43" s="182"/>
    </row>
    <row r="44" spans="1:11" ht="14.65" customHeight="1" x14ac:dyDescent="0.2">
      <c r="A44" s="172" t="s">
        <v>50</v>
      </c>
      <c r="B44" s="172"/>
      <c r="C44" s="172"/>
      <c r="D44" s="172"/>
      <c r="E44" s="172"/>
      <c r="F44" s="172"/>
      <c r="G44" s="172"/>
      <c r="H44" s="172"/>
      <c r="I44" s="172"/>
      <c r="J44" s="13">
        <f>ROUND(I20+J28+J33+J36+J39,2)</f>
        <v>18526.009999999998</v>
      </c>
    </row>
    <row r="45" spans="1:11" ht="12.75" customHeight="1" x14ac:dyDescent="0.2">
      <c r="A45" s="182"/>
      <c r="B45" s="182"/>
      <c r="C45" s="182"/>
      <c r="D45" s="182"/>
      <c r="E45" s="182"/>
      <c r="F45" s="182"/>
      <c r="G45" s="182"/>
      <c r="H45" s="182"/>
      <c r="I45" s="182"/>
      <c r="J45" s="182"/>
    </row>
    <row r="46" spans="1:11" ht="48.75" customHeight="1" x14ac:dyDescent="0.2">
      <c r="A46" s="199" t="s">
        <v>51</v>
      </c>
      <c r="B46" s="199"/>
      <c r="C46" s="199"/>
      <c r="D46" s="199"/>
      <c r="E46" s="199"/>
      <c r="F46" s="199"/>
      <c r="G46" s="199"/>
      <c r="H46" s="199"/>
      <c r="I46" s="199"/>
      <c r="J46" s="199"/>
    </row>
    <row r="47" spans="1:11" ht="12.75" customHeight="1" x14ac:dyDescent="0.2">
      <c r="A47" s="182"/>
      <c r="B47" s="182"/>
      <c r="C47" s="182"/>
      <c r="D47" s="182"/>
      <c r="E47" s="182"/>
      <c r="F47" s="182"/>
      <c r="G47" s="182"/>
      <c r="H47" s="182"/>
      <c r="I47" s="182"/>
      <c r="J47" s="182"/>
    </row>
    <row r="48" spans="1:11" ht="16.149999999999999" customHeight="1" x14ac:dyDescent="0.2">
      <c r="A48" s="192" t="s">
        <v>52</v>
      </c>
      <c r="B48" s="192"/>
      <c r="C48" s="192"/>
      <c r="D48" s="192"/>
      <c r="E48" s="192"/>
      <c r="F48" s="192"/>
      <c r="G48" s="192"/>
      <c r="H48" s="192"/>
      <c r="I48" s="192"/>
      <c r="J48" s="192"/>
    </row>
    <row r="49" spans="1:11" ht="16.149999999999999" customHeight="1" x14ac:dyDescent="0.2">
      <c r="A49" s="2">
        <v>1</v>
      </c>
      <c r="B49" s="142" t="s">
        <v>53</v>
      </c>
      <c r="C49" s="142"/>
      <c r="D49" s="142"/>
      <c r="E49" s="142"/>
      <c r="F49" s="142"/>
      <c r="G49" s="142"/>
      <c r="H49" s="201" t="s">
        <v>54</v>
      </c>
      <c r="I49" s="201"/>
      <c r="J49" s="201"/>
    </row>
    <row r="50" spans="1:11" ht="16.149999999999999" customHeight="1" x14ac:dyDescent="0.2">
      <c r="A50" s="2">
        <v>2</v>
      </c>
      <c r="B50" s="142" t="s">
        <v>55</v>
      </c>
      <c r="C50" s="142"/>
      <c r="D50" s="142"/>
      <c r="E50" s="142"/>
      <c r="F50" s="142"/>
      <c r="G50" s="142"/>
      <c r="H50" s="201" t="s">
        <v>56</v>
      </c>
      <c r="I50" s="201"/>
      <c r="J50" s="201"/>
    </row>
    <row r="51" spans="1:11" ht="30" customHeight="1" x14ac:dyDescent="0.2">
      <c r="A51" s="2">
        <v>3</v>
      </c>
      <c r="B51" s="142" t="s">
        <v>57</v>
      </c>
      <c r="C51" s="142"/>
      <c r="D51" s="142"/>
      <c r="E51" s="142"/>
      <c r="F51" s="142"/>
      <c r="G51" s="142"/>
      <c r="H51" s="202">
        <v>1314.09</v>
      </c>
      <c r="I51" s="202"/>
      <c r="J51" s="202"/>
    </row>
    <row r="52" spans="1:11" ht="16.149999999999999" customHeight="1" x14ac:dyDescent="0.2">
      <c r="A52" s="2">
        <v>4</v>
      </c>
      <c r="B52" s="142" t="s">
        <v>58</v>
      </c>
      <c r="C52" s="142"/>
      <c r="D52" s="142"/>
      <c r="E52" s="142"/>
      <c r="F52" s="142"/>
      <c r="G52" s="142"/>
      <c r="H52" s="201" t="s">
        <v>59</v>
      </c>
      <c r="I52" s="201"/>
      <c r="J52" s="201"/>
    </row>
    <row r="53" spans="1:11" ht="16.149999999999999" customHeight="1" x14ac:dyDescent="0.2">
      <c r="A53" s="2">
        <v>5</v>
      </c>
      <c r="B53" s="142" t="s">
        <v>60</v>
      </c>
      <c r="C53" s="142"/>
      <c r="D53" s="142"/>
      <c r="E53" s="142"/>
      <c r="F53" s="142"/>
      <c r="G53" s="142"/>
      <c r="H53" s="201" t="s">
        <v>61</v>
      </c>
      <c r="I53" s="201"/>
      <c r="J53" s="201"/>
    </row>
    <row r="54" spans="1:11" ht="12.75" customHeight="1" x14ac:dyDescent="0.2">
      <c r="A54" s="182"/>
      <c r="B54" s="182"/>
      <c r="C54" s="182"/>
      <c r="D54" s="182"/>
      <c r="E54" s="182"/>
      <c r="F54" s="182"/>
      <c r="G54" s="182"/>
      <c r="H54" s="182"/>
      <c r="I54" s="182"/>
      <c r="J54" s="182"/>
    </row>
    <row r="55" spans="1:11" ht="20.65" customHeight="1" x14ac:dyDescent="0.2">
      <c r="A55" s="199" t="s">
        <v>62</v>
      </c>
      <c r="B55" s="199"/>
      <c r="C55" s="199"/>
      <c r="D55" s="199"/>
      <c r="E55" s="199"/>
      <c r="F55" s="199"/>
      <c r="G55" s="199"/>
      <c r="H55" s="199"/>
      <c r="I55" s="199"/>
      <c r="J55" s="199"/>
    </row>
    <row r="56" spans="1:11" ht="30.4" customHeight="1" x14ac:dyDescent="0.2">
      <c r="A56" s="14">
        <v>1</v>
      </c>
      <c r="B56" s="192" t="s">
        <v>63</v>
      </c>
      <c r="C56" s="192"/>
      <c r="D56" s="192"/>
      <c r="E56" s="192"/>
      <c r="F56" s="192"/>
      <c r="G56" s="192"/>
      <c r="H56" s="192" t="s">
        <v>64</v>
      </c>
      <c r="I56" s="192"/>
      <c r="J56" s="14" t="s">
        <v>65</v>
      </c>
    </row>
    <row r="57" spans="1:11" s="17" customFormat="1" ht="14.65" customHeight="1" x14ac:dyDescent="0.2">
      <c r="A57" s="2" t="s">
        <v>7</v>
      </c>
      <c r="B57" s="142" t="s">
        <v>66</v>
      </c>
      <c r="C57" s="142"/>
      <c r="D57" s="142"/>
      <c r="E57" s="142"/>
      <c r="F57" s="142"/>
      <c r="G57" s="142"/>
      <c r="H57" s="142"/>
      <c r="I57" s="142"/>
      <c r="J57" s="15">
        <v>1314.09</v>
      </c>
      <c r="K57" s="16"/>
    </row>
    <row r="58" spans="1:11" ht="14.65" customHeight="1" x14ac:dyDescent="0.2">
      <c r="A58" s="2" t="s">
        <v>9</v>
      </c>
      <c r="B58" s="142" t="s">
        <v>67</v>
      </c>
      <c r="C58" s="142"/>
      <c r="D58" s="142"/>
      <c r="E58" s="142"/>
      <c r="F58" s="142"/>
      <c r="G58" s="142"/>
      <c r="H58" s="142"/>
      <c r="I58" s="18">
        <v>0.4</v>
      </c>
      <c r="J58" s="19">
        <f>ROUND(I58*J57,2)</f>
        <v>525.64</v>
      </c>
      <c r="K58" s="20"/>
    </row>
    <row r="59" spans="1:11" ht="15.75" customHeight="1" x14ac:dyDescent="0.2">
      <c r="A59" s="190" t="s">
        <v>68</v>
      </c>
      <c r="B59" s="190"/>
      <c r="C59" s="190"/>
      <c r="D59" s="190"/>
      <c r="E59" s="190"/>
      <c r="F59" s="190"/>
      <c r="G59" s="190"/>
      <c r="H59" s="190"/>
      <c r="I59" s="190"/>
      <c r="J59" s="21">
        <f>SUM(J57:J58)</f>
        <v>1839.73</v>
      </c>
      <c r="K59" s="20"/>
    </row>
    <row r="60" spans="1:11" ht="12.75" customHeight="1" x14ac:dyDescent="0.2">
      <c r="A60" s="182"/>
      <c r="B60" s="182"/>
      <c r="C60" s="182"/>
      <c r="D60" s="182"/>
      <c r="E60" s="182"/>
      <c r="F60" s="182"/>
      <c r="G60" s="182"/>
      <c r="H60" s="182"/>
      <c r="I60" s="182"/>
      <c r="J60" s="182"/>
      <c r="K60" s="20"/>
    </row>
    <row r="61" spans="1:11" ht="16.149999999999999" customHeight="1" x14ac:dyDescent="0.2">
      <c r="A61" s="187" t="s">
        <v>69</v>
      </c>
      <c r="B61" s="187"/>
      <c r="C61" s="187"/>
      <c r="D61" s="187"/>
      <c r="E61" s="187"/>
      <c r="F61" s="187"/>
      <c r="G61" s="187"/>
      <c r="H61" s="187"/>
      <c r="I61" s="187"/>
      <c r="J61" s="187"/>
    </row>
    <row r="62" spans="1:11" ht="15" x14ac:dyDescent="0.2">
      <c r="A62" s="200" t="s">
        <v>70</v>
      </c>
      <c r="B62" s="200"/>
      <c r="C62" s="200"/>
      <c r="D62" s="200"/>
      <c r="E62" s="200"/>
      <c r="F62" s="200"/>
      <c r="G62" s="200"/>
      <c r="H62" s="200"/>
      <c r="I62" s="200"/>
      <c r="J62" s="200"/>
    </row>
    <row r="63" spans="1:11" ht="15" customHeight="1" x14ac:dyDescent="0.2">
      <c r="A63" s="22" t="s">
        <v>71</v>
      </c>
      <c r="B63" s="197" t="s">
        <v>72</v>
      </c>
      <c r="C63" s="197"/>
      <c r="D63" s="197"/>
      <c r="E63" s="197"/>
      <c r="F63" s="197"/>
      <c r="G63" s="197"/>
      <c r="H63" s="197"/>
      <c r="I63" s="197"/>
      <c r="J63" s="3" t="s">
        <v>73</v>
      </c>
    </row>
    <row r="64" spans="1:11" ht="27.6" customHeight="1" x14ac:dyDescent="0.2">
      <c r="A64" s="23" t="s">
        <v>7</v>
      </c>
      <c r="B64" s="142" t="s">
        <v>74</v>
      </c>
      <c r="C64" s="142"/>
      <c r="D64" s="142"/>
      <c r="E64" s="142"/>
      <c r="F64" s="142"/>
      <c r="G64" s="142"/>
      <c r="H64" s="142"/>
      <c r="I64" s="24">
        <v>8.3299999999999999E-2</v>
      </c>
      <c r="J64" s="25">
        <f>ROUND($J$59*I64,2)</f>
        <v>153.25</v>
      </c>
      <c r="K64" s="20"/>
    </row>
    <row r="65" spans="1:11" ht="36.200000000000003" customHeight="1" x14ac:dyDescent="0.2">
      <c r="A65" s="23" t="s">
        <v>9</v>
      </c>
      <c r="B65" s="189" t="s">
        <v>75</v>
      </c>
      <c r="C65" s="189"/>
      <c r="D65" s="189"/>
      <c r="E65" s="189"/>
      <c r="F65" s="189"/>
      <c r="G65" s="189"/>
      <c r="H65" s="189"/>
      <c r="I65" s="26">
        <v>3.0249999999999999E-2</v>
      </c>
      <c r="J65" s="25">
        <f>ROUND($J$59*I65,2)</f>
        <v>55.65</v>
      </c>
      <c r="K65" s="20"/>
    </row>
    <row r="66" spans="1:11" x14ac:dyDescent="0.2">
      <c r="A66" s="198" t="s">
        <v>76</v>
      </c>
      <c r="B66" s="198"/>
      <c r="C66" s="198"/>
      <c r="D66" s="198"/>
      <c r="E66" s="198"/>
      <c r="F66" s="198"/>
      <c r="G66" s="198"/>
      <c r="H66" s="198"/>
      <c r="I66" s="198"/>
      <c r="J66" s="27">
        <f>SUM(J64+J65)</f>
        <v>208.9</v>
      </c>
      <c r="K66" s="20"/>
    </row>
    <row r="67" spans="1:11" x14ac:dyDescent="0.2">
      <c r="A67" s="28" t="s">
        <v>12</v>
      </c>
      <c r="B67" s="153" t="s">
        <v>77</v>
      </c>
      <c r="C67" s="153"/>
      <c r="D67" s="153"/>
      <c r="E67" s="153"/>
      <c r="F67" s="153"/>
      <c r="G67" s="153"/>
      <c r="H67" s="153"/>
      <c r="I67" s="153"/>
      <c r="J67" s="29">
        <f>ROUND(I80*J66,2)</f>
        <v>76.88</v>
      </c>
      <c r="K67" s="20"/>
    </row>
    <row r="68" spans="1:11" x14ac:dyDescent="0.2">
      <c r="A68" s="186" t="s">
        <v>76</v>
      </c>
      <c r="B68" s="186"/>
      <c r="C68" s="186"/>
      <c r="D68" s="186"/>
      <c r="E68" s="186"/>
      <c r="F68" s="186"/>
      <c r="G68" s="186"/>
      <c r="H68" s="186"/>
      <c r="I68" s="186"/>
      <c r="J68" s="30">
        <f>J66+J67</f>
        <v>285.77999999999997</v>
      </c>
      <c r="K68" s="20"/>
    </row>
    <row r="69" spans="1:11" ht="12.75" customHeight="1" x14ac:dyDescent="0.2">
      <c r="A69" s="182"/>
      <c r="B69" s="182"/>
      <c r="C69" s="182"/>
      <c r="D69" s="182"/>
      <c r="E69" s="182"/>
      <c r="F69" s="182"/>
      <c r="G69" s="182"/>
      <c r="H69" s="182"/>
      <c r="I69" s="182"/>
      <c r="J69" s="182"/>
    </row>
    <row r="70" spans="1:11" ht="30.4" customHeight="1" x14ac:dyDescent="0.2">
      <c r="A70" s="187" t="s">
        <v>78</v>
      </c>
      <c r="B70" s="187"/>
      <c r="C70" s="187"/>
      <c r="D70" s="187"/>
      <c r="E70" s="187"/>
      <c r="F70" s="187"/>
      <c r="G70" s="187"/>
      <c r="H70" s="187"/>
      <c r="I70" s="187"/>
      <c r="J70" s="187"/>
    </row>
    <row r="71" spans="1:11" ht="30.4" customHeight="1" x14ac:dyDescent="0.2">
      <c r="A71" s="31" t="s">
        <v>79</v>
      </c>
      <c r="B71" s="188" t="s">
        <v>80</v>
      </c>
      <c r="C71" s="188"/>
      <c r="D71" s="188"/>
      <c r="E71" s="188"/>
      <c r="F71" s="188"/>
      <c r="G71" s="188"/>
      <c r="H71" s="188"/>
      <c r="I71" s="14" t="s">
        <v>81</v>
      </c>
      <c r="J71" s="14" t="s">
        <v>82</v>
      </c>
    </row>
    <row r="72" spans="1:11" x14ac:dyDescent="0.2">
      <c r="A72" s="23" t="s">
        <v>7</v>
      </c>
      <c r="B72" s="153" t="s">
        <v>83</v>
      </c>
      <c r="C72" s="153"/>
      <c r="D72" s="153"/>
      <c r="E72" s="153"/>
      <c r="F72" s="153"/>
      <c r="G72" s="153"/>
      <c r="H72" s="153"/>
      <c r="I72" s="32">
        <v>0.2</v>
      </c>
      <c r="J72" s="33">
        <f t="shared" ref="J72:J79" si="0">ROUND($J$59*I72,2)</f>
        <v>367.95</v>
      </c>
      <c r="K72" s="20"/>
    </row>
    <row r="73" spans="1:11" ht="12.75" customHeight="1" x14ac:dyDescent="0.2">
      <c r="A73" s="23" t="s">
        <v>9</v>
      </c>
      <c r="B73" s="153" t="s">
        <v>84</v>
      </c>
      <c r="C73" s="153"/>
      <c r="D73" s="153"/>
      <c r="E73" s="153"/>
      <c r="F73" s="153"/>
      <c r="G73" s="153"/>
      <c r="H73" s="153"/>
      <c r="I73" s="32">
        <v>2.5000000000000001E-2</v>
      </c>
      <c r="J73" s="33">
        <f t="shared" si="0"/>
        <v>45.99</v>
      </c>
      <c r="K73" s="20"/>
    </row>
    <row r="74" spans="1:11" x14ac:dyDescent="0.2">
      <c r="A74" s="23" t="s">
        <v>12</v>
      </c>
      <c r="B74" s="153" t="s">
        <v>85</v>
      </c>
      <c r="C74" s="153"/>
      <c r="D74" s="153"/>
      <c r="E74" s="34" t="s">
        <v>86</v>
      </c>
      <c r="F74" s="35">
        <v>0.03</v>
      </c>
      <c r="G74" s="34" t="s">
        <v>87</v>
      </c>
      <c r="H74" s="36">
        <v>1</v>
      </c>
      <c r="I74" s="37">
        <f>ROUND((F74*H74),6)</f>
        <v>0.03</v>
      </c>
      <c r="J74" s="33">
        <f t="shared" si="0"/>
        <v>55.19</v>
      </c>
      <c r="K74" s="20"/>
    </row>
    <row r="75" spans="1:11" x14ac:dyDescent="0.2">
      <c r="A75" s="23" t="s">
        <v>15</v>
      </c>
      <c r="B75" s="153" t="s">
        <v>88</v>
      </c>
      <c r="C75" s="153"/>
      <c r="D75" s="153"/>
      <c r="E75" s="153"/>
      <c r="F75" s="153"/>
      <c r="G75" s="153"/>
      <c r="H75" s="153"/>
      <c r="I75" s="32">
        <v>1.4999999999999999E-2</v>
      </c>
      <c r="J75" s="33">
        <f t="shared" si="0"/>
        <v>27.6</v>
      </c>
      <c r="K75" s="20"/>
    </row>
    <row r="76" spans="1:11" x14ac:dyDescent="0.2">
      <c r="A76" s="23" t="s">
        <v>89</v>
      </c>
      <c r="B76" s="153" t="s">
        <v>90</v>
      </c>
      <c r="C76" s="153"/>
      <c r="D76" s="153"/>
      <c r="E76" s="153"/>
      <c r="F76" s="153"/>
      <c r="G76" s="153"/>
      <c r="H76" s="153"/>
      <c r="I76" s="32">
        <v>0.01</v>
      </c>
      <c r="J76" s="33">
        <f t="shared" si="0"/>
        <v>18.399999999999999</v>
      </c>
      <c r="K76" s="20"/>
    </row>
    <row r="77" spans="1:11" x14ac:dyDescent="0.2">
      <c r="A77" s="23" t="s">
        <v>91</v>
      </c>
      <c r="B77" s="153" t="s">
        <v>92</v>
      </c>
      <c r="C77" s="153"/>
      <c r="D77" s="153"/>
      <c r="E77" s="153"/>
      <c r="F77" s="153"/>
      <c r="G77" s="153"/>
      <c r="H77" s="153"/>
      <c r="I77" s="32">
        <v>6.0000000000000001E-3</v>
      </c>
      <c r="J77" s="33">
        <f t="shared" si="0"/>
        <v>11.04</v>
      </c>
      <c r="K77" s="20"/>
    </row>
    <row r="78" spans="1:11" x14ac:dyDescent="0.2">
      <c r="A78" s="23" t="s">
        <v>93</v>
      </c>
      <c r="B78" s="153" t="s">
        <v>94</v>
      </c>
      <c r="C78" s="153"/>
      <c r="D78" s="153"/>
      <c r="E78" s="153"/>
      <c r="F78" s="153"/>
      <c r="G78" s="153"/>
      <c r="H78" s="153"/>
      <c r="I78" s="32">
        <v>2E-3</v>
      </c>
      <c r="J78" s="33">
        <f t="shared" si="0"/>
        <v>3.68</v>
      </c>
      <c r="K78" s="20"/>
    </row>
    <row r="79" spans="1:11" x14ac:dyDescent="0.2">
      <c r="A79" s="23" t="s">
        <v>95</v>
      </c>
      <c r="B79" s="153" t="s">
        <v>96</v>
      </c>
      <c r="C79" s="153"/>
      <c r="D79" s="153"/>
      <c r="E79" s="153"/>
      <c r="F79" s="153"/>
      <c r="G79" s="153"/>
      <c r="H79" s="153"/>
      <c r="I79" s="32">
        <v>0.08</v>
      </c>
      <c r="J79" s="33">
        <f t="shared" si="0"/>
        <v>147.18</v>
      </c>
      <c r="K79" s="20"/>
    </row>
    <row r="80" spans="1:11" x14ac:dyDescent="0.2">
      <c r="A80" s="186" t="s">
        <v>76</v>
      </c>
      <c r="B80" s="186"/>
      <c r="C80" s="186"/>
      <c r="D80" s="186"/>
      <c r="E80" s="186"/>
      <c r="F80" s="186"/>
      <c r="G80" s="186"/>
      <c r="H80" s="186"/>
      <c r="I80" s="38">
        <f>SUM(I72:I79)</f>
        <v>0.36800000000000005</v>
      </c>
      <c r="J80" s="30">
        <f>SUM(J72:J79)</f>
        <v>677.03</v>
      </c>
      <c r="K80" s="20"/>
    </row>
    <row r="81" spans="1:11" ht="12.75" customHeight="1" x14ac:dyDescent="0.2">
      <c r="A81" s="182"/>
      <c r="B81" s="182"/>
      <c r="C81" s="182"/>
      <c r="D81" s="182"/>
      <c r="E81" s="182"/>
      <c r="F81" s="182"/>
      <c r="G81" s="182"/>
      <c r="H81" s="182"/>
      <c r="I81" s="182"/>
      <c r="J81" s="182"/>
    </row>
    <row r="82" spans="1:11" ht="16.149999999999999" customHeight="1" x14ac:dyDescent="0.2">
      <c r="A82" s="187" t="s">
        <v>97</v>
      </c>
      <c r="B82" s="187"/>
      <c r="C82" s="187"/>
      <c r="D82" s="187"/>
      <c r="E82" s="187"/>
      <c r="F82" s="187"/>
      <c r="G82" s="187"/>
      <c r="H82" s="187"/>
      <c r="I82" s="187"/>
      <c r="J82" s="187"/>
    </row>
    <row r="83" spans="1:11" ht="27.75" customHeight="1" x14ac:dyDescent="0.2">
      <c r="A83" s="31" t="s">
        <v>98</v>
      </c>
      <c r="B83" s="188" t="s">
        <v>99</v>
      </c>
      <c r="C83" s="188"/>
      <c r="D83" s="188"/>
      <c r="E83" s="188"/>
      <c r="F83" s="188"/>
      <c r="G83" s="188"/>
      <c r="H83" s="188"/>
      <c r="I83" s="188"/>
      <c r="J83" s="14" t="s">
        <v>73</v>
      </c>
    </row>
    <row r="84" spans="1:11" x14ac:dyDescent="0.2">
      <c r="A84" s="23" t="s">
        <v>7</v>
      </c>
      <c r="B84" s="153" t="s">
        <v>100</v>
      </c>
      <c r="C84" s="153"/>
      <c r="D84" s="153"/>
      <c r="E84" s="153"/>
      <c r="F84" s="153"/>
      <c r="G84" s="153"/>
      <c r="H84" s="153"/>
      <c r="I84" s="153"/>
      <c r="J84" s="33">
        <f>IF(ROUND((I87*I85*I86)-(J57*0.06),2)&lt;0,0,ROUND((I87*I85*I86)-(J57*0.06),2))*1+(I85*I86*21.726-0.06*J57)*0</f>
        <v>141.15</v>
      </c>
      <c r="K84" s="20"/>
    </row>
    <row r="85" spans="1:11" ht="22.5" customHeight="1" x14ac:dyDescent="0.2">
      <c r="A85" s="23"/>
      <c r="B85" s="189" t="s">
        <v>101</v>
      </c>
      <c r="C85" s="189"/>
      <c r="D85" s="189"/>
      <c r="E85" s="189"/>
      <c r="F85" s="189"/>
      <c r="G85" s="189"/>
      <c r="H85" s="189"/>
      <c r="I85" s="39">
        <v>5</v>
      </c>
      <c r="J85" s="40" t="s">
        <v>102</v>
      </c>
      <c r="K85" s="20"/>
    </row>
    <row r="86" spans="1:11" x14ac:dyDescent="0.2">
      <c r="A86" s="23"/>
      <c r="B86" s="196" t="s">
        <v>103</v>
      </c>
      <c r="C86" s="196"/>
      <c r="D86" s="196"/>
      <c r="E86" s="196"/>
      <c r="F86" s="196"/>
      <c r="G86" s="196"/>
      <c r="H86" s="196"/>
      <c r="I86" s="41">
        <v>2</v>
      </c>
      <c r="J86" s="40"/>
      <c r="K86" s="20"/>
    </row>
    <row r="87" spans="1:11" x14ac:dyDescent="0.2">
      <c r="A87" s="23"/>
      <c r="B87" s="196" t="s">
        <v>104</v>
      </c>
      <c r="C87" s="196"/>
      <c r="D87" s="196"/>
      <c r="E87" s="196"/>
      <c r="F87" s="196"/>
      <c r="G87" s="196"/>
      <c r="H87" s="196"/>
      <c r="I87" s="42">
        <v>22</v>
      </c>
      <c r="J87" s="40"/>
      <c r="K87" s="20"/>
    </row>
    <row r="88" spans="1:11" x14ac:dyDescent="0.2">
      <c r="A88" s="23" t="s">
        <v>9</v>
      </c>
      <c r="B88" s="153" t="s">
        <v>105</v>
      </c>
      <c r="C88" s="153"/>
      <c r="D88" s="153"/>
      <c r="E88" s="153"/>
      <c r="F88" s="153"/>
      <c r="G88" s="153"/>
      <c r="H88" s="153"/>
      <c r="I88" s="153"/>
      <c r="J88" s="33">
        <f>ROUND(I90*I89*(1-0.19),2)*1+ROUND(21.726*6*(1-0.19),2)*0</f>
        <v>359.61</v>
      </c>
      <c r="K88" s="20"/>
    </row>
    <row r="89" spans="1:11" x14ac:dyDescent="0.2">
      <c r="A89" s="23"/>
      <c r="B89" s="196" t="s">
        <v>106</v>
      </c>
      <c r="C89" s="196"/>
      <c r="D89" s="196"/>
      <c r="E89" s="196"/>
      <c r="F89" s="196"/>
      <c r="G89" s="196"/>
      <c r="H89" s="196"/>
      <c r="I89" s="39">
        <v>20.18</v>
      </c>
      <c r="J89" s="40" t="s">
        <v>102</v>
      </c>
      <c r="K89" s="20"/>
    </row>
    <row r="90" spans="1:11" ht="12.75" customHeight="1" x14ac:dyDescent="0.2">
      <c r="A90" s="43"/>
      <c r="B90" s="196" t="s">
        <v>107</v>
      </c>
      <c r="C90" s="196"/>
      <c r="D90" s="196"/>
      <c r="E90" s="196"/>
      <c r="F90" s="196"/>
      <c r="G90" s="196"/>
      <c r="H90" s="196"/>
      <c r="I90" s="44">
        <v>22</v>
      </c>
      <c r="J90" s="40"/>
      <c r="K90" s="20"/>
    </row>
    <row r="91" spans="1:11" ht="27.6" customHeight="1" x14ac:dyDescent="0.2">
      <c r="A91" s="23" t="s">
        <v>12</v>
      </c>
      <c r="B91" s="142" t="s">
        <v>108</v>
      </c>
      <c r="C91" s="142"/>
      <c r="D91" s="142"/>
      <c r="E91" s="142"/>
      <c r="F91" s="142"/>
      <c r="G91" s="142"/>
      <c r="H91" s="142"/>
      <c r="I91" s="142"/>
      <c r="J91" s="10">
        <v>17.32</v>
      </c>
      <c r="K91" s="20"/>
    </row>
    <row r="92" spans="1:11" x14ac:dyDescent="0.2">
      <c r="A92" s="186" t="s">
        <v>68</v>
      </c>
      <c r="B92" s="186"/>
      <c r="C92" s="186"/>
      <c r="D92" s="186"/>
      <c r="E92" s="186"/>
      <c r="F92" s="186"/>
      <c r="G92" s="186"/>
      <c r="H92" s="186"/>
      <c r="I92" s="186"/>
      <c r="J92" s="30">
        <f>SUM(J84:J91)</f>
        <v>518.08000000000004</v>
      </c>
      <c r="K92" s="20"/>
    </row>
    <row r="93" spans="1:11" ht="12.75" customHeight="1" x14ac:dyDescent="0.2">
      <c r="A93" s="182"/>
      <c r="B93" s="182"/>
      <c r="C93" s="182"/>
      <c r="D93" s="182"/>
      <c r="E93" s="182"/>
      <c r="F93" s="182"/>
      <c r="G93" s="182"/>
      <c r="H93" s="182"/>
      <c r="I93" s="182"/>
      <c r="J93" s="182"/>
    </row>
    <row r="94" spans="1:11" ht="16.149999999999999" customHeight="1" x14ac:dyDescent="0.2">
      <c r="A94" s="187" t="s">
        <v>109</v>
      </c>
      <c r="B94" s="187"/>
      <c r="C94" s="187"/>
      <c r="D94" s="187"/>
      <c r="E94" s="187"/>
      <c r="F94" s="187"/>
      <c r="G94" s="187"/>
      <c r="H94" s="187"/>
      <c r="I94" s="187"/>
      <c r="J94" s="187"/>
    </row>
    <row r="95" spans="1:11" ht="30.75" customHeight="1" x14ac:dyDescent="0.2">
      <c r="A95" s="14">
        <v>2</v>
      </c>
      <c r="B95" s="192" t="s">
        <v>110</v>
      </c>
      <c r="C95" s="192"/>
      <c r="D95" s="192"/>
      <c r="E95" s="192"/>
      <c r="F95" s="192"/>
      <c r="G95" s="192"/>
      <c r="H95" s="192"/>
      <c r="I95" s="192"/>
      <c r="J95" s="14" t="s">
        <v>73</v>
      </c>
    </row>
    <row r="96" spans="1:11" ht="14.65" customHeight="1" x14ac:dyDescent="0.2">
      <c r="A96" s="2" t="s">
        <v>71</v>
      </c>
      <c r="B96" s="2"/>
      <c r="C96" s="142" t="s">
        <v>111</v>
      </c>
      <c r="D96" s="142"/>
      <c r="E96" s="142"/>
      <c r="F96" s="142"/>
      <c r="G96" s="142"/>
      <c r="H96" s="142"/>
      <c r="I96" s="142"/>
      <c r="J96" s="6">
        <f>J68</f>
        <v>285.77999999999997</v>
      </c>
      <c r="K96" s="20"/>
    </row>
    <row r="97" spans="1:12" ht="14.65" customHeight="1" x14ac:dyDescent="0.2">
      <c r="A97" s="2" t="s">
        <v>79</v>
      </c>
      <c r="B97" s="2"/>
      <c r="C97" s="142" t="s">
        <v>80</v>
      </c>
      <c r="D97" s="142"/>
      <c r="E97" s="142"/>
      <c r="F97" s="142"/>
      <c r="G97" s="142"/>
      <c r="H97" s="142"/>
      <c r="I97" s="142"/>
      <c r="J97" s="6">
        <f>J80</f>
        <v>677.03</v>
      </c>
      <c r="K97" s="20"/>
    </row>
    <row r="98" spans="1:12" ht="14.65" customHeight="1" x14ac:dyDescent="0.2">
      <c r="A98" s="2" t="s">
        <v>98</v>
      </c>
      <c r="B98" s="2"/>
      <c r="C98" s="142" t="s">
        <v>99</v>
      </c>
      <c r="D98" s="142"/>
      <c r="E98" s="142"/>
      <c r="F98" s="142"/>
      <c r="G98" s="142"/>
      <c r="H98" s="142"/>
      <c r="I98" s="142"/>
      <c r="J98" s="6">
        <f>J92</f>
        <v>518.08000000000004</v>
      </c>
      <c r="K98" s="20"/>
    </row>
    <row r="99" spans="1:12" ht="14.65" customHeight="1" x14ac:dyDescent="0.2">
      <c r="A99" s="190" t="s">
        <v>76</v>
      </c>
      <c r="B99" s="190"/>
      <c r="C99" s="190"/>
      <c r="D99" s="190"/>
      <c r="E99" s="190"/>
      <c r="F99" s="190"/>
      <c r="G99" s="190"/>
      <c r="H99" s="190"/>
      <c r="I99" s="190"/>
      <c r="J99" s="45">
        <f>SUM(J96+J97+J98)</f>
        <v>1480.8899999999999</v>
      </c>
      <c r="K99" s="20"/>
    </row>
    <row r="100" spans="1:12" ht="12.75" customHeight="1" x14ac:dyDescent="0.2">
      <c r="A100" s="182"/>
      <c r="B100" s="182"/>
      <c r="C100" s="182"/>
      <c r="D100" s="182"/>
      <c r="E100" s="182"/>
      <c r="F100" s="182"/>
      <c r="G100" s="182"/>
      <c r="H100" s="182"/>
      <c r="I100" s="182"/>
      <c r="J100" s="182"/>
    </row>
    <row r="101" spans="1:12" ht="16.149999999999999" customHeight="1" x14ac:dyDescent="0.2">
      <c r="A101" s="187" t="s">
        <v>112</v>
      </c>
      <c r="B101" s="187"/>
      <c r="C101" s="187"/>
      <c r="D101" s="187"/>
      <c r="E101" s="187"/>
      <c r="F101" s="187"/>
      <c r="G101" s="187"/>
      <c r="H101" s="187"/>
      <c r="I101" s="187"/>
      <c r="J101" s="187"/>
    </row>
    <row r="102" spans="1:12" ht="16.149999999999999" customHeight="1" x14ac:dyDescent="0.2">
      <c r="A102" s="31">
        <v>3</v>
      </c>
      <c r="B102" s="192" t="s">
        <v>113</v>
      </c>
      <c r="C102" s="192"/>
      <c r="D102" s="192"/>
      <c r="E102" s="192"/>
      <c r="F102" s="192"/>
      <c r="G102" s="192"/>
      <c r="H102" s="192"/>
      <c r="I102" s="192"/>
      <c r="J102" s="31" t="s">
        <v>114</v>
      </c>
      <c r="K102" s="46"/>
    </row>
    <row r="103" spans="1:12" ht="46.5" customHeight="1" x14ac:dyDescent="0.2">
      <c r="A103" s="23" t="s">
        <v>7</v>
      </c>
      <c r="B103" s="142" t="s">
        <v>115</v>
      </c>
      <c r="C103" s="142"/>
      <c r="D103" s="142"/>
      <c r="E103" s="142"/>
      <c r="F103" s="142"/>
      <c r="G103" s="142"/>
      <c r="H103" s="142"/>
      <c r="I103" s="142"/>
      <c r="J103" s="40">
        <f>ROUND((($J$59/12)+($J$64/12)+($J$59/12/12)+($J$65/12))*(30/30)*0.05,2)</f>
        <v>9.17</v>
      </c>
      <c r="K103" s="47"/>
    </row>
    <row r="104" spans="1:12" ht="14.65" customHeight="1" x14ac:dyDescent="0.2">
      <c r="A104" s="23" t="s">
        <v>9</v>
      </c>
      <c r="B104" s="142" t="s">
        <v>116</v>
      </c>
      <c r="C104" s="142"/>
      <c r="D104" s="142"/>
      <c r="E104" s="142"/>
      <c r="F104" s="142"/>
      <c r="G104" s="142"/>
      <c r="H104" s="142"/>
      <c r="I104" s="142"/>
      <c r="J104" s="40">
        <f>ROUND($J$103*I79,2)</f>
        <v>0.73</v>
      </c>
      <c r="K104" s="47"/>
    </row>
    <row r="105" spans="1:12" ht="36.200000000000003" customHeight="1" x14ac:dyDescent="0.2">
      <c r="A105" s="23" t="s">
        <v>12</v>
      </c>
      <c r="B105" s="142" t="s">
        <v>117</v>
      </c>
      <c r="C105" s="142"/>
      <c r="D105" s="142"/>
      <c r="E105" s="142"/>
      <c r="F105" s="142"/>
      <c r="G105" s="142"/>
      <c r="H105" s="142"/>
      <c r="I105" s="48">
        <v>1.9E-3</v>
      </c>
      <c r="J105" s="40">
        <f>ROUND($J$59*I105,2)</f>
        <v>3.5</v>
      </c>
      <c r="K105" s="47"/>
    </row>
    <row r="106" spans="1:12" ht="39" customHeight="1" x14ac:dyDescent="0.2">
      <c r="A106" s="23" t="s">
        <v>15</v>
      </c>
      <c r="B106" s="142" t="s">
        <v>118</v>
      </c>
      <c r="C106" s="142"/>
      <c r="D106" s="142"/>
      <c r="E106" s="142"/>
      <c r="F106" s="142"/>
      <c r="G106" s="142"/>
      <c r="H106" s="142"/>
      <c r="I106" s="142"/>
      <c r="J106" s="40">
        <f>ROUND(((($J$59/30)*7)/$H$10)*0.9,2)</f>
        <v>12.88</v>
      </c>
      <c r="K106" s="47"/>
    </row>
    <row r="107" spans="1:12" ht="14.65" customHeight="1" x14ac:dyDescent="0.2">
      <c r="A107" s="23" t="s">
        <v>89</v>
      </c>
      <c r="B107" s="142" t="s">
        <v>119</v>
      </c>
      <c r="C107" s="142"/>
      <c r="D107" s="142"/>
      <c r="E107" s="142"/>
      <c r="F107" s="142"/>
      <c r="G107" s="142"/>
      <c r="H107" s="142"/>
      <c r="I107" s="142"/>
      <c r="J107" s="40">
        <f>ROUND($I$80*J106,2)</f>
        <v>4.74</v>
      </c>
      <c r="K107" s="49"/>
    </row>
    <row r="108" spans="1:12" ht="36.200000000000003" customHeight="1" x14ac:dyDescent="0.2">
      <c r="A108" s="23" t="s">
        <v>91</v>
      </c>
      <c r="B108" s="142" t="s">
        <v>120</v>
      </c>
      <c r="C108" s="142"/>
      <c r="D108" s="142"/>
      <c r="E108" s="142"/>
      <c r="F108" s="142"/>
      <c r="G108" s="142"/>
      <c r="H108" s="142"/>
      <c r="I108" s="48">
        <v>3.8100000000000002E-2</v>
      </c>
      <c r="J108" s="40">
        <f>ROUND($J$59*I108,2)</f>
        <v>70.09</v>
      </c>
      <c r="K108" s="49"/>
    </row>
    <row r="109" spans="1:12" x14ac:dyDescent="0.2">
      <c r="A109" s="186" t="s">
        <v>76</v>
      </c>
      <c r="B109" s="186"/>
      <c r="C109" s="186"/>
      <c r="D109" s="186"/>
      <c r="E109" s="186"/>
      <c r="F109" s="186"/>
      <c r="G109" s="186"/>
      <c r="H109" s="186"/>
      <c r="I109" s="186"/>
      <c r="J109" s="50">
        <f>SUM(J103:J108)</f>
        <v>101.11000000000001</v>
      </c>
      <c r="K109" s="49"/>
    </row>
    <row r="110" spans="1:12" ht="12.75" customHeight="1" x14ac:dyDescent="0.2">
      <c r="A110" s="182"/>
      <c r="B110" s="182"/>
      <c r="C110" s="182"/>
      <c r="D110" s="182"/>
      <c r="E110" s="182"/>
      <c r="F110" s="182"/>
      <c r="G110" s="182"/>
      <c r="H110" s="182"/>
      <c r="I110" s="182"/>
      <c r="J110" s="182"/>
    </row>
    <row r="111" spans="1:12" ht="16.149999999999999" customHeight="1" x14ac:dyDescent="0.2">
      <c r="A111" s="187" t="s">
        <v>121</v>
      </c>
      <c r="B111" s="187"/>
      <c r="C111" s="187"/>
      <c r="D111" s="187"/>
      <c r="E111" s="187"/>
      <c r="F111" s="187"/>
      <c r="G111" s="187"/>
      <c r="H111" s="187"/>
      <c r="I111" s="187"/>
      <c r="J111" s="187"/>
    </row>
    <row r="112" spans="1:12" ht="27" customHeight="1" x14ac:dyDescent="0.2">
      <c r="A112" s="194" t="s">
        <v>122</v>
      </c>
      <c r="B112" s="194"/>
      <c r="C112" s="194"/>
      <c r="D112" s="194"/>
      <c r="E112" s="194"/>
      <c r="F112" s="194"/>
      <c r="G112" s="194"/>
      <c r="H112" s="194"/>
      <c r="I112" s="194"/>
      <c r="J112" s="51">
        <f>J115+J59+J64+J65</f>
        <v>2215.59</v>
      </c>
      <c r="K112" s="47"/>
      <c r="L112" s="52"/>
    </row>
    <row r="113" spans="1:11" ht="14.65" customHeight="1" x14ac:dyDescent="0.2">
      <c r="A113" s="195"/>
      <c r="B113" s="195"/>
      <c r="C113" s="195"/>
      <c r="D113" s="195"/>
      <c r="E113" s="195"/>
      <c r="F113" s="195"/>
      <c r="G113" s="195"/>
      <c r="H113" s="195"/>
      <c r="I113" s="195"/>
      <c r="J113" s="195"/>
    </row>
    <row r="114" spans="1:11" ht="15" customHeight="1" x14ac:dyDescent="0.25">
      <c r="A114" s="53" t="s">
        <v>123</v>
      </c>
      <c r="B114" s="188" t="s">
        <v>124</v>
      </c>
      <c r="C114" s="188"/>
      <c r="D114" s="188"/>
      <c r="E114" s="188"/>
      <c r="F114" s="188"/>
      <c r="G114" s="188"/>
      <c r="H114" s="188"/>
      <c r="I114" s="188"/>
      <c r="J114" s="53" t="s">
        <v>73</v>
      </c>
    </row>
    <row r="115" spans="1:11" ht="12.75" customHeight="1" x14ac:dyDescent="0.2">
      <c r="A115" s="28" t="s">
        <v>7</v>
      </c>
      <c r="B115" s="142" t="s">
        <v>125</v>
      </c>
      <c r="C115" s="142"/>
      <c r="D115" s="142"/>
      <c r="E115" s="142"/>
      <c r="F115" s="142"/>
      <c r="G115" s="142"/>
      <c r="H115" s="142"/>
      <c r="I115" s="26">
        <v>9.0749999999999997E-2</v>
      </c>
      <c r="J115" s="33">
        <f>ROUND(($J$59*I115),2)</f>
        <v>166.96</v>
      </c>
      <c r="K115" s="47"/>
    </row>
    <row r="116" spans="1:11" x14ac:dyDescent="0.2">
      <c r="A116" s="28" t="s">
        <v>9</v>
      </c>
      <c r="B116" s="153" t="s">
        <v>126</v>
      </c>
      <c r="C116" s="153"/>
      <c r="D116" s="153"/>
      <c r="E116" s="153"/>
      <c r="F116" s="153"/>
      <c r="G116" s="153"/>
      <c r="H116" s="153"/>
      <c r="I116" s="153"/>
      <c r="J116" s="54">
        <f>ROUND((($J$112/30)*2.96)/12,2)</f>
        <v>18.22</v>
      </c>
      <c r="K116" s="47"/>
    </row>
    <row r="117" spans="1:11" x14ac:dyDescent="0.2">
      <c r="A117" s="28" t="s">
        <v>12</v>
      </c>
      <c r="B117" s="153" t="s">
        <v>127</v>
      </c>
      <c r="C117" s="153"/>
      <c r="D117" s="153"/>
      <c r="E117" s="153"/>
      <c r="F117" s="153"/>
      <c r="G117" s="153"/>
      <c r="H117" s="153"/>
      <c r="I117" s="153"/>
      <c r="J117" s="54">
        <f>ROUND((($J$112/30)*5)/12*0.015,2)</f>
        <v>0.46</v>
      </c>
      <c r="K117" s="47"/>
    </row>
    <row r="118" spans="1:11" x14ac:dyDescent="0.2">
      <c r="A118" s="28" t="s">
        <v>15</v>
      </c>
      <c r="B118" s="153" t="s">
        <v>128</v>
      </c>
      <c r="C118" s="153"/>
      <c r="D118" s="153"/>
      <c r="E118" s="153"/>
      <c r="F118" s="153"/>
      <c r="G118" s="153"/>
      <c r="H118" s="153"/>
      <c r="I118" s="153"/>
      <c r="J118" s="29">
        <f>ROUND(((($J$112/30)*15)/12)*0.0078,2)</f>
        <v>0.72</v>
      </c>
      <c r="K118" s="47"/>
    </row>
    <row r="119" spans="1:11" x14ac:dyDescent="0.2">
      <c r="A119" s="28" t="s">
        <v>89</v>
      </c>
      <c r="B119" s="153" t="s">
        <v>129</v>
      </c>
      <c r="C119" s="153"/>
      <c r="D119" s="153"/>
      <c r="E119" s="153"/>
      <c r="F119" s="153"/>
      <c r="G119" s="153"/>
      <c r="H119" s="153"/>
      <c r="I119" s="153"/>
      <c r="J119" s="33">
        <f>ROUND(((($J$59+$J$59/3)*4/12)/12)*0.02,2)</f>
        <v>1.36</v>
      </c>
      <c r="K119" s="47"/>
    </row>
    <row r="120" spans="1:11" x14ac:dyDescent="0.2">
      <c r="A120" s="55" t="s">
        <v>91</v>
      </c>
      <c r="B120" s="193" t="s">
        <v>130</v>
      </c>
      <c r="C120" s="193"/>
      <c r="D120" s="193"/>
      <c r="E120" s="193"/>
      <c r="F120" s="193"/>
      <c r="G120" s="193"/>
      <c r="H120" s="193"/>
      <c r="I120" s="193"/>
      <c r="J120" s="29">
        <f>ROUND(((($J$112/30)*5)/12),2)</f>
        <v>30.77</v>
      </c>
      <c r="K120" s="47"/>
    </row>
    <row r="121" spans="1:11" x14ac:dyDescent="0.2">
      <c r="A121" s="186" t="s">
        <v>76</v>
      </c>
      <c r="B121" s="186"/>
      <c r="C121" s="186"/>
      <c r="D121" s="186"/>
      <c r="E121" s="186"/>
      <c r="F121" s="186"/>
      <c r="G121" s="186"/>
      <c r="H121" s="186"/>
      <c r="I121" s="186"/>
      <c r="J121" s="56">
        <f>SUM(J115:J120)</f>
        <v>218.49000000000004</v>
      </c>
      <c r="K121" s="47"/>
    </row>
    <row r="122" spans="1:11" ht="14.65" customHeight="1" x14ac:dyDescent="0.2">
      <c r="A122" s="28" t="s">
        <v>93</v>
      </c>
      <c r="B122" s="153" t="s">
        <v>131</v>
      </c>
      <c r="C122" s="153"/>
      <c r="D122" s="153"/>
      <c r="E122" s="153"/>
      <c r="F122" s="153"/>
      <c r="G122" s="153"/>
      <c r="H122" s="153"/>
      <c r="I122" s="153"/>
      <c r="J122" s="29">
        <f>ROUND(I80*J121,2)</f>
        <v>80.400000000000006</v>
      </c>
      <c r="K122" s="47"/>
    </row>
    <row r="123" spans="1:11" ht="12.75" customHeight="1" x14ac:dyDescent="0.2">
      <c r="A123" s="186" t="s">
        <v>76</v>
      </c>
      <c r="B123" s="186"/>
      <c r="C123" s="186"/>
      <c r="D123" s="186"/>
      <c r="E123" s="186"/>
      <c r="F123" s="186"/>
      <c r="G123" s="186"/>
      <c r="H123" s="186"/>
      <c r="I123" s="186"/>
      <c r="J123" s="30">
        <f>SUM(J121:J122)</f>
        <v>298.89000000000004</v>
      </c>
      <c r="K123" s="47"/>
    </row>
    <row r="124" spans="1:11" ht="16.149999999999999" customHeight="1" x14ac:dyDescent="0.2">
      <c r="A124" s="187" t="s">
        <v>132</v>
      </c>
      <c r="B124" s="187"/>
      <c r="C124" s="187"/>
      <c r="D124" s="187"/>
      <c r="E124" s="187"/>
      <c r="F124" s="187"/>
      <c r="G124" s="187"/>
      <c r="H124" s="187"/>
      <c r="I124" s="187"/>
      <c r="J124" s="187"/>
    </row>
    <row r="125" spans="1:11" ht="15" x14ac:dyDescent="0.2">
      <c r="A125" s="31" t="s">
        <v>133</v>
      </c>
      <c r="B125" s="188" t="s">
        <v>134</v>
      </c>
      <c r="C125" s="188"/>
      <c r="D125" s="188"/>
      <c r="E125" s="188"/>
      <c r="F125" s="188"/>
      <c r="G125" s="188"/>
      <c r="H125" s="188"/>
      <c r="I125" s="188"/>
      <c r="J125" s="57" t="s">
        <v>73</v>
      </c>
    </row>
    <row r="126" spans="1:11" x14ac:dyDescent="0.2">
      <c r="A126" s="23" t="s">
        <v>7</v>
      </c>
      <c r="B126" s="153" t="s">
        <v>135</v>
      </c>
      <c r="C126" s="153"/>
      <c r="D126" s="153"/>
      <c r="E126" s="153"/>
      <c r="F126" s="153"/>
      <c r="G126" s="153"/>
      <c r="H126" s="153"/>
      <c r="I126" s="153"/>
      <c r="J126" s="33">
        <v>0</v>
      </c>
      <c r="K126" s="49"/>
    </row>
    <row r="127" spans="1:11" x14ac:dyDescent="0.2">
      <c r="A127" s="191" t="s">
        <v>76</v>
      </c>
      <c r="B127" s="191"/>
      <c r="C127" s="191"/>
      <c r="D127" s="191"/>
      <c r="E127" s="191"/>
      <c r="F127" s="191"/>
      <c r="G127" s="191"/>
      <c r="H127" s="191"/>
      <c r="I127" s="191"/>
      <c r="J127" s="33">
        <v>0</v>
      </c>
      <c r="K127" s="49"/>
    </row>
    <row r="128" spans="1:11" x14ac:dyDescent="0.2">
      <c r="A128" s="28" t="s">
        <v>9</v>
      </c>
      <c r="B128" s="153" t="s">
        <v>136</v>
      </c>
      <c r="C128" s="153"/>
      <c r="D128" s="153"/>
      <c r="E128" s="153"/>
      <c r="F128" s="153"/>
      <c r="G128" s="153"/>
      <c r="H128" s="153"/>
      <c r="I128" s="153"/>
      <c r="J128" s="29">
        <f>ROUND(I80*J127,2)</f>
        <v>0</v>
      </c>
      <c r="K128" s="49"/>
    </row>
    <row r="129" spans="1:11" x14ac:dyDescent="0.2">
      <c r="A129" s="186" t="s">
        <v>76</v>
      </c>
      <c r="B129" s="186"/>
      <c r="C129" s="186"/>
      <c r="D129" s="186"/>
      <c r="E129" s="186"/>
      <c r="F129" s="186"/>
      <c r="G129" s="186"/>
      <c r="H129" s="186"/>
      <c r="I129" s="186"/>
      <c r="J129" s="30">
        <f>SUM(J127:J128)</f>
        <v>0</v>
      </c>
      <c r="K129" s="49"/>
    </row>
    <row r="130" spans="1:11" ht="12.75" customHeight="1" x14ac:dyDescent="0.2">
      <c r="A130" s="143"/>
      <c r="B130" s="143"/>
      <c r="C130" s="143"/>
      <c r="D130" s="143"/>
      <c r="E130" s="143"/>
      <c r="F130" s="143"/>
      <c r="G130" s="143"/>
      <c r="H130" s="143"/>
      <c r="I130" s="143"/>
      <c r="J130" s="143"/>
    </row>
    <row r="131" spans="1:11" ht="16.149999999999999" customHeight="1" x14ac:dyDescent="0.2">
      <c r="A131" s="187" t="s">
        <v>137</v>
      </c>
      <c r="B131" s="187"/>
      <c r="C131" s="187"/>
      <c r="D131" s="187"/>
      <c r="E131" s="187"/>
      <c r="F131" s="187"/>
      <c r="G131" s="187"/>
      <c r="H131" s="187"/>
      <c r="I131" s="187"/>
      <c r="J131" s="187"/>
    </row>
    <row r="132" spans="1:11" ht="16.149999999999999" customHeight="1" x14ac:dyDescent="0.2">
      <c r="A132" s="14">
        <v>4</v>
      </c>
      <c r="B132" s="192" t="s">
        <v>138</v>
      </c>
      <c r="C132" s="192"/>
      <c r="D132" s="192"/>
      <c r="E132" s="192"/>
      <c r="F132" s="192"/>
      <c r="G132" s="192"/>
      <c r="H132" s="192"/>
      <c r="I132" s="192"/>
      <c r="J132" s="57" t="s">
        <v>73</v>
      </c>
    </row>
    <row r="133" spans="1:11" ht="14.65" customHeight="1" x14ac:dyDescent="0.2">
      <c r="A133" s="2" t="s">
        <v>123</v>
      </c>
      <c r="B133" s="142" t="s">
        <v>124</v>
      </c>
      <c r="C133" s="142"/>
      <c r="D133" s="142"/>
      <c r="E133" s="142"/>
      <c r="F133" s="142"/>
      <c r="G133" s="142"/>
      <c r="H133" s="142"/>
      <c r="I133" s="142"/>
      <c r="J133" s="33">
        <f>J123</f>
        <v>298.89000000000004</v>
      </c>
      <c r="K133" s="47"/>
    </row>
    <row r="134" spans="1:11" ht="14.65" customHeight="1" x14ac:dyDescent="0.2">
      <c r="A134" s="2" t="s">
        <v>139</v>
      </c>
      <c r="B134" s="142" t="s">
        <v>134</v>
      </c>
      <c r="C134" s="142"/>
      <c r="D134" s="142"/>
      <c r="E134" s="142"/>
      <c r="F134" s="142"/>
      <c r="G134" s="142"/>
      <c r="H134" s="142"/>
      <c r="I134" s="142"/>
      <c r="J134" s="33">
        <f>J129</f>
        <v>0</v>
      </c>
      <c r="K134" s="47"/>
    </row>
    <row r="135" spans="1:11" ht="14.65" customHeight="1" x14ac:dyDescent="0.2">
      <c r="A135" s="190" t="s">
        <v>76</v>
      </c>
      <c r="B135" s="190"/>
      <c r="C135" s="190"/>
      <c r="D135" s="190"/>
      <c r="E135" s="190"/>
      <c r="F135" s="190"/>
      <c r="G135" s="190"/>
      <c r="H135" s="190"/>
      <c r="I135" s="190"/>
      <c r="J135" s="30">
        <f>SUM(J133+J134)</f>
        <v>298.89000000000004</v>
      </c>
      <c r="K135" s="47"/>
    </row>
    <row r="136" spans="1:11" ht="12.75" customHeight="1" x14ac:dyDescent="0.2">
      <c r="A136" s="182"/>
      <c r="B136" s="182"/>
      <c r="C136" s="182"/>
      <c r="D136" s="182"/>
      <c r="E136" s="182"/>
      <c r="F136" s="182"/>
      <c r="G136" s="182"/>
      <c r="H136" s="182"/>
      <c r="I136" s="182"/>
      <c r="J136" s="182"/>
    </row>
    <row r="137" spans="1:11" ht="16.149999999999999" customHeight="1" x14ac:dyDescent="0.2">
      <c r="A137" s="187" t="s">
        <v>140</v>
      </c>
      <c r="B137" s="187"/>
      <c r="C137" s="187"/>
      <c r="D137" s="187"/>
      <c r="E137" s="187"/>
      <c r="F137" s="187"/>
      <c r="G137" s="187"/>
      <c r="H137" s="187"/>
      <c r="I137" s="187"/>
      <c r="J137" s="187"/>
    </row>
    <row r="138" spans="1:11" ht="16.149999999999999" customHeight="1" x14ac:dyDescent="0.2">
      <c r="A138" s="31">
        <v>5</v>
      </c>
      <c r="B138" s="188" t="s">
        <v>141</v>
      </c>
      <c r="C138" s="188"/>
      <c r="D138" s="188"/>
      <c r="E138" s="188"/>
      <c r="F138" s="188"/>
      <c r="G138" s="188"/>
      <c r="H138" s="188"/>
      <c r="I138" s="188"/>
      <c r="J138" s="31" t="s">
        <v>73</v>
      </c>
    </row>
    <row r="139" spans="1:11" x14ac:dyDescent="0.2">
      <c r="A139" s="23" t="s">
        <v>7</v>
      </c>
      <c r="B139" s="153" t="s">
        <v>142</v>
      </c>
      <c r="C139" s="153"/>
      <c r="D139" s="153"/>
      <c r="E139" s="153"/>
      <c r="F139" s="153"/>
      <c r="G139" s="153"/>
      <c r="H139" s="153"/>
      <c r="I139" s="153"/>
      <c r="J139" s="33">
        <f>INSUMOS!F85</f>
        <v>67.673999999999992</v>
      </c>
      <c r="K139" s="47"/>
    </row>
    <row r="140" spans="1:11" x14ac:dyDescent="0.2">
      <c r="A140" s="23" t="s">
        <v>9</v>
      </c>
      <c r="B140" s="153" t="s">
        <v>143</v>
      </c>
      <c r="C140" s="153"/>
      <c r="D140" s="153"/>
      <c r="E140" s="153"/>
      <c r="F140" s="153"/>
      <c r="G140" s="153"/>
      <c r="H140" s="153"/>
      <c r="I140" s="153"/>
      <c r="J140" s="10">
        <f>INSUMOS!F81</f>
        <v>691.76622222222227</v>
      </c>
      <c r="K140" s="47"/>
    </row>
    <row r="141" spans="1:11" x14ac:dyDescent="0.2">
      <c r="A141" s="23" t="s">
        <v>12</v>
      </c>
      <c r="B141" s="153" t="s">
        <v>144</v>
      </c>
      <c r="C141" s="153"/>
      <c r="D141" s="153"/>
      <c r="E141" s="153"/>
      <c r="F141" s="153"/>
      <c r="G141" s="153"/>
      <c r="H141" s="153"/>
      <c r="I141" s="153"/>
      <c r="J141" s="10">
        <f>INSUMOS!F83</f>
        <v>47.763722222222221</v>
      </c>
      <c r="K141" s="47"/>
    </row>
    <row r="142" spans="1:11" x14ac:dyDescent="0.2">
      <c r="A142" s="23" t="s">
        <v>15</v>
      </c>
      <c r="B142" s="153" t="s">
        <v>145</v>
      </c>
      <c r="C142" s="153"/>
      <c r="D142" s="153"/>
      <c r="E142" s="153"/>
      <c r="F142" s="153"/>
      <c r="G142" s="153"/>
      <c r="H142" s="153"/>
      <c r="I142" s="153"/>
      <c r="J142" s="10" t="s">
        <v>146</v>
      </c>
      <c r="K142" s="47"/>
    </row>
    <row r="143" spans="1:11" x14ac:dyDescent="0.2">
      <c r="A143" s="186" t="s">
        <v>68</v>
      </c>
      <c r="B143" s="186"/>
      <c r="C143" s="186"/>
      <c r="D143" s="186"/>
      <c r="E143" s="186"/>
      <c r="F143" s="186"/>
      <c r="G143" s="186"/>
      <c r="H143" s="186"/>
      <c r="I143" s="186"/>
      <c r="J143" s="58">
        <f>SUM(J139:J142)</f>
        <v>807.20394444444446</v>
      </c>
      <c r="K143" s="47"/>
    </row>
    <row r="144" spans="1:11" ht="12.75" customHeight="1" x14ac:dyDescent="0.2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</row>
    <row r="145" spans="1:11" ht="16.149999999999999" customHeight="1" x14ac:dyDescent="0.2">
      <c r="A145" s="187" t="s">
        <v>147</v>
      </c>
      <c r="B145" s="187"/>
      <c r="C145" s="187"/>
      <c r="D145" s="187"/>
      <c r="E145" s="187"/>
      <c r="F145" s="187"/>
      <c r="G145" s="187"/>
      <c r="H145" s="187"/>
      <c r="I145" s="187"/>
      <c r="J145" s="187"/>
    </row>
    <row r="146" spans="1:11" ht="30" customHeight="1" x14ac:dyDescent="0.2">
      <c r="A146" s="31">
        <v>6</v>
      </c>
      <c r="B146" s="188" t="s">
        <v>148</v>
      </c>
      <c r="C146" s="188"/>
      <c r="D146" s="188"/>
      <c r="E146" s="188"/>
      <c r="F146" s="188"/>
      <c r="G146" s="188"/>
      <c r="H146" s="188"/>
      <c r="I146" s="14" t="s">
        <v>81</v>
      </c>
      <c r="J146" s="59" t="s">
        <v>149</v>
      </c>
    </row>
    <row r="147" spans="1:11" ht="12.75" customHeight="1" x14ac:dyDescent="0.2">
      <c r="A147" s="189" t="s">
        <v>150</v>
      </c>
      <c r="B147" s="189"/>
      <c r="C147" s="189"/>
      <c r="D147" s="189"/>
      <c r="E147" s="189"/>
      <c r="F147" s="189"/>
      <c r="G147" s="189"/>
      <c r="H147" s="189"/>
      <c r="I147" s="60" t="s">
        <v>102</v>
      </c>
      <c r="J147" s="61">
        <f>SUM(J59+J99+J109+J135+J143)</f>
        <v>4527.8239444444444</v>
      </c>
      <c r="K147" s="20"/>
    </row>
    <row r="148" spans="1:11" ht="15.75" customHeight="1" x14ac:dyDescent="0.2">
      <c r="A148" s="62" t="s">
        <v>7</v>
      </c>
      <c r="B148" s="160" t="s">
        <v>151</v>
      </c>
      <c r="C148" s="160"/>
      <c r="D148" s="160"/>
      <c r="E148" s="160"/>
      <c r="F148" s="160"/>
      <c r="G148" s="160"/>
      <c r="H148" s="160"/>
      <c r="I148" s="32">
        <v>0.03</v>
      </c>
      <c r="J148" s="33">
        <f>ROUND(I148*J147,2)</f>
        <v>135.83000000000001</v>
      </c>
      <c r="K148" s="20"/>
    </row>
    <row r="149" spans="1:11" ht="12.75" customHeight="1" x14ac:dyDescent="0.2">
      <c r="A149" s="189" t="s">
        <v>152</v>
      </c>
      <c r="B149" s="189"/>
      <c r="C149" s="189"/>
      <c r="D149" s="189"/>
      <c r="E149" s="189"/>
      <c r="F149" s="189"/>
      <c r="G149" s="189"/>
      <c r="H149" s="189"/>
      <c r="I149" s="63" t="s">
        <v>102</v>
      </c>
      <c r="J149" s="61">
        <f>SUM(J59+J99+J109+J135+J143+J148)</f>
        <v>4663.6539444444443</v>
      </c>
      <c r="K149" s="20"/>
    </row>
    <row r="150" spans="1:11" ht="15.75" customHeight="1" x14ac:dyDescent="0.2">
      <c r="A150" s="62" t="s">
        <v>9</v>
      </c>
      <c r="B150" s="160" t="s">
        <v>153</v>
      </c>
      <c r="C150" s="160"/>
      <c r="D150" s="160"/>
      <c r="E150" s="160"/>
      <c r="F150" s="160"/>
      <c r="G150" s="160"/>
      <c r="H150" s="160"/>
      <c r="I150" s="32">
        <v>6.7900000000000002E-2</v>
      </c>
      <c r="J150" s="33">
        <f>ROUND(I150*J149,2)</f>
        <v>316.66000000000003</v>
      </c>
      <c r="K150" s="20"/>
    </row>
    <row r="151" spans="1:11" ht="12.75" customHeight="1" x14ac:dyDescent="0.2">
      <c r="A151" s="189" t="s">
        <v>154</v>
      </c>
      <c r="B151" s="189"/>
      <c r="C151" s="189"/>
      <c r="D151" s="189"/>
      <c r="E151" s="189"/>
      <c r="F151" s="189"/>
      <c r="G151" s="189"/>
      <c r="H151" s="189"/>
      <c r="I151" s="63" t="s">
        <v>102</v>
      </c>
      <c r="J151" s="61">
        <f>SUM(J59+J99+J109+J135+J143+J148+J150)</f>
        <v>4980.3139444444441</v>
      </c>
      <c r="K151" s="20"/>
    </row>
    <row r="152" spans="1:11" ht="15.75" x14ac:dyDescent="0.2">
      <c r="A152" s="62" t="s">
        <v>12</v>
      </c>
      <c r="B152" s="160" t="s">
        <v>155</v>
      </c>
      <c r="C152" s="160"/>
      <c r="D152" s="160"/>
      <c r="E152" s="160"/>
      <c r="F152" s="160"/>
      <c r="G152" s="160"/>
      <c r="H152" s="160"/>
      <c r="I152" s="24" t="s">
        <v>102</v>
      </c>
      <c r="J152" s="40" t="s">
        <v>102</v>
      </c>
    </row>
    <row r="153" spans="1:11" x14ac:dyDescent="0.2">
      <c r="A153" s="23"/>
      <c r="B153" s="153" t="s">
        <v>156</v>
      </c>
      <c r="C153" s="153"/>
      <c r="D153" s="153"/>
      <c r="E153" s="153"/>
      <c r="F153" s="153"/>
      <c r="G153" s="153"/>
      <c r="H153" s="153"/>
      <c r="I153" s="24" t="s">
        <v>102</v>
      </c>
      <c r="J153" s="40" t="s">
        <v>102</v>
      </c>
    </row>
    <row r="154" spans="1:11" x14ac:dyDescent="0.2">
      <c r="A154" s="23"/>
      <c r="B154" s="153" t="s">
        <v>157</v>
      </c>
      <c r="C154" s="153"/>
      <c r="D154" s="153"/>
      <c r="E154" s="153"/>
      <c r="F154" s="153"/>
      <c r="G154" s="153"/>
      <c r="H154" s="153"/>
      <c r="I154" s="64">
        <v>7.5999999999999998E-2</v>
      </c>
      <c r="J154" s="33">
        <f>ROUND(($J$151/(1-$I$163))*I154,2)</f>
        <v>428.9</v>
      </c>
      <c r="K154" s="20"/>
    </row>
    <row r="155" spans="1:11" ht="12.75" customHeight="1" x14ac:dyDescent="0.2">
      <c r="A155" s="23"/>
      <c r="B155" s="153" t="s">
        <v>158</v>
      </c>
      <c r="C155" s="153"/>
      <c r="D155" s="153"/>
      <c r="E155" s="153"/>
      <c r="F155" s="153"/>
      <c r="G155" s="153"/>
      <c r="H155" s="153"/>
      <c r="I155" s="64">
        <v>1.6500000000000001E-2</v>
      </c>
      <c r="J155" s="33">
        <f>ROUND(($J$151/(1-$I$163))*I155,2)</f>
        <v>93.12</v>
      </c>
      <c r="K155" s="20"/>
    </row>
    <row r="156" spans="1:11" ht="27.6" customHeight="1" x14ac:dyDescent="0.2">
      <c r="A156" s="23"/>
      <c r="B156" s="142" t="s">
        <v>159</v>
      </c>
      <c r="C156" s="142"/>
      <c r="D156" s="142"/>
      <c r="E156" s="142"/>
      <c r="F156" s="142"/>
      <c r="G156" s="142"/>
      <c r="H156" s="142"/>
      <c r="I156" s="65" t="s">
        <v>102</v>
      </c>
      <c r="J156" s="40" t="s">
        <v>102</v>
      </c>
    </row>
    <row r="157" spans="1:11" ht="27.6" customHeight="1" x14ac:dyDescent="0.2">
      <c r="A157" s="23"/>
      <c r="B157" s="142" t="s">
        <v>160</v>
      </c>
      <c r="C157" s="142"/>
      <c r="D157" s="142"/>
      <c r="E157" s="142"/>
      <c r="F157" s="142"/>
      <c r="G157" s="142"/>
      <c r="H157" s="142"/>
      <c r="I157" s="65" t="s">
        <v>102</v>
      </c>
      <c r="J157" s="40" t="s">
        <v>102</v>
      </c>
    </row>
    <row r="158" spans="1:11" x14ac:dyDescent="0.2">
      <c r="A158" s="23"/>
      <c r="B158" s="153" t="s">
        <v>161</v>
      </c>
      <c r="C158" s="153"/>
      <c r="D158" s="153"/>
      <c r="E158" s="153"/>
      <c r="F158" s="153"/>
      <c r="G158" s="153"/>
      <c r="H158" s="153"/>
      <c r="I158" s="65" t="s">
        <v>102</v>
      </c>
      <c r="J158" s="40" t="s">
        <v>102</v>
      </c>
    </row>
    <row r="159" spans="1:11" x14ac:dyDescent="0.2">
      <c r="A159" s="23"/>
      <c r="B159" s="153" t="s">
        <v>162</v>
      </c>
      <c r="C159" s="153"/>
      <c r="D159" s="153"/>
      <c r="E159" s="153"/>
      <c r="F159" s="153"/>
      <c r="G159" s="153"/>
      <c r="H159" s="153"/>
      <c r="I159" s="65" t="s">
        <v>102</v>
      </c>
      <c r="J159" s="40" t="s">
        <v>102</v>
      </c>
    </row>
    <row r="160" spans="1:11" x14ac:dyDescent="0.2">
      <c r="A160" s="23"/>
      <c r="B160" s="153" t="s">
        <v>163</v>
      </c>
      <c r="C160" s="153"/>
      <c r="D160" s="153"/>
      <c r="E160" s="153"/>
      <c r="F160" s="153"/>
      <c r="G160" s="153"/>
      <c r="H160" s="153"/>
      <c r="I160" s="64">
        <v>2.5000000000000001E-2</v>
      </c>
      <c r="J160" s="33">
        <f>ROUND(($J$151/(1-$I$163))*I160,2)</f>
        <v>141.09</v>
      </c>
      <c r="K160" s="20"/>
    </row>
    <row r="161" spans="1:11" x14ac:dyDescent="0.2">
      <c r="A161" s="186" t="s">
        <v>76</v>
      </c>
      <c r="B161" s="186"/>
      <c r="C161" s="186"/>
      <c r="D161" s="186"/>
      <c r="E161" s="186"/>
      <c r="F161" s="186"/>
      <c r="G161" s="186"/>
      <c r="H161" s="186"/>
      <c r="I161" s="186"/>
      <c r="J161" s="30">
        <f>SUM(J148+J150+J154+J155+J160)</f>
        <v>1115.5999999999999</v>
      </c>
      <c r="K161" s="20"/>
    </row>
    <row r="162" spans="1:11" ht="12.75" customHeight="1" x14ac:dyDescent="0.2">
      <c r="A162" s="182"/>
      <c r="B162" s="182"/>
      <c r="C162" s="182"/>
      <c r="D162" s="182"/>
      <c r="E162" s="182"/>
      <c r="F162" s="182"/>
      <c r="G162" s="182"/>
      <c r="H162" s="182"/>
      <c r="I162" s="182"/>
      <c r="J162" s="182"/>
    </row>
    <row r="163" spans="1:11" ht="14.65" customHeight="1" x14ac:dyDescent="0.2">
      <c r="A163" s="172" t="s">
        <v>164</v>
      </c>
      <c r="B163" s="172"/>
      <c r="C163" s="172"/>
      <c r="D163" s="172"/>
      <c r="E163" s="172"/>
      <c r="F163" s="172"/>
      <c r="G163" s="172"/>
      <c r="H163" s="172"/>
      <c r="I163" s="66">
        <f>SUM(I154:I160)</f>
        <v>0.11749999999999999</v>
      </c>
      <c r="J163" s="61">
        <f>SUM(J154:J160)</f>
        <v>663.11</v>
      </c>
      <c r="K163" s="20"/>
    </row>
    <row r="164" spans="1:11" x14ac:dyDescent="0.2">
      <c r="A164" s="170" t="s">
        <v>165</v>
      </c>
      <c r="B164" s="170"/>
      <c r="C164" s="170"/>
      <c r="D164" s="183" t="s">
        <v>166</v>
      </c>
      <c r="E164" s="183"/>
      <c r="F164" s="183"/>
      <c r="G164" s="183"/>
      <c r="H164" s="183"/>
      <c r="I164" s="183"/>
      <c r="J164" s="183"/>
    </row>
    <row r="165" spans="1:11" x14ac:dyDescent="0.2">
      <c r="A165" s="170"/>
      <c r="B165" s="170"/>
      <c r="C165" s="170"/>
      <c r="D165" s="183" t="s">
        <v>167</v>
      </c>
      <c r="E165" s="183"/>
      <c r="F165" s="183"/>
      <c r="G165" s="183"/>
      <c r="H165" s="183"/>
      <c r="I165" s="183"/>
      <c r="J165" s="183"/>
    </row>
    <row r="166" spans="1:11" x14ac:dyDescent="0.2">
      <c r="A166" s="170"/>
      <c r="B166" s="170"/>
      <c r="C166" s="170"/>
      <c r="D166" s="183" t="s">
        <v>168</v>
      </c>
      <c r="E166" s="183"/>
      <c r="F166" s="183"/>
      <c r="G166" s="183"/>
      <c r="H166" s="183"/>
      <c r="I166" s="183"/>
      <c r="J166" s="183"/>
    </row>
    <row r="167" spans="1:11" ht="12.75" customHeight="1" x14ac:dyDescent="0.2">
      <c r="A167" s="182"/>
      <c r="B167" s="182"/>
      <c r="C167" s="182"/>
      <c r="D167" s="182"/>
      <c r="E167" s="182"/>
      <c r="F167" s="182"/>
      <c r="G167" s="182"/>
      <c r="H167" s="182"/>
      <c r="I167" s="182"/>
      <c r="J167" s="182"/>
    </row>
    <row r="168" spans="1:11" ht="45.95" customHeight="1" x14ac:dyDescent="0.2">
      <c r="A168" s="184" t="s">
        <v>169</v>
      </c>
      <c r="B168" s="184"/>
      <c r="C168" s="184"/>
      <c r="D168" s="184"/>
      <c r="E168" s="184"/>
      <c r="F168" s="184"/>
      <c r="G168" s="184"/>
      <c r="H168" s="184"/>
      <c r="I168" s="184"/>
      <c r="J168" s="184"/>
    </row>
    <row r="169" spans="1:11" ht="14.65" customHeight="1" x14ac:dyDescent="0.2">
      <c r="A169" s="185" t="s">
        <v>170</v>
      </c>
      <c r="B169" s="185"/>
      <c r="C169" s="185"/>
      <c r="D169" s="185"/>
      <c r="E169" s="185"/>
      <c r="F169" s="185"/>
      <c r="G169" s="185"/>
      <c r="H169" s="185"/>
      <c r="I169" s="185"/>
      <c r="J169" s="4" t="s">
        <v>73</v>
      </c>
    </row>
    <row r="170" spans="1:11" ht="14.65" customHeight="1" x14ac:dyDescent="0.2">
      <c r="A170" s="67" t="s">
        <v>7</v>
      </c>
      <c r="B170" s="179" t="s">
        <v>171</v>
      </c>
      <c r="C170" s="179"/>
      <c r="D170" s="179"/>
      <c r="E170" s="179"/>
      <c r="F170" s="179"/>
      <c r="G170" s="179"/>
      <c r="H170" s="179"/>
      <c r="I170" s="179"/>
      <c r="J170" s="10">
        <f>J59</f>
        <v>1839.73</v>
      </c>
      <c r="K170" s="20"/>
    </row>
    <row r="171" spans="1:11" ht="14.65" customHeight="1" x14ac:dyDescent="0.2">
      <c r="A171" s="67" t="s">
        <v>9</v>
      </c>
      <c r="B171" s="179" t="s">
        <v>69</v>
      </c>
      <c r="C171" s="179"/>
      <c r="D171" s="179"/>
      <c r="E171" s="179"/>
      <c r="F171" s="179"/>
      <c r="G171" s="179"/>
      <c r="H171" s="179"/>
      <c r="I171" s="179"/>
      <c r="J171" s="10">
        <f>J99</f>
        <v>1480.8899999999999</v>
      </c>
      <c r="K171" s="20"/>
    </row>
    <row r="172" spans="1:11" ht="14.65" customHeight="1" x14ac:dyDescent="0.2">
      <c r="A172" s="67" t="s">
        <v>12</v>
      </c>
      <c r="B172" s="179" t="s">
        <v>172</v>
      </c>
      <c r="C172" s="179"/>
      <c r="D172" s="179"/>
      <c r="E172" s="179"/>
      <c r="F172" s="179"/>
      <c r="G172" s="179"/>
      <c r="H172" s="179"/>
      <c r="I172" s="179"/>
      <c r="J172" s="10">
        <f>J109</f>
        <v>101.11000000000001</v>
      </c>
    </row>
    <row r="173" spans="1:11" ht="14.65" customHeight="1" x14ac:dyDescent="0.2">
      <c r="A173" s="67" t="s">
        <v>15</v>
      </c>
      <c r="B173" s="179" t="s">
        <v>173</v>
      </c>
      <c r="C173" s="179"/>
      <c r="D173" s="179"/>
      <c r="E173" s="179"/>
      <c r="F173" s="179"/>
      <c r="G173" s="179"/>
      <c r="H173" s="179"/>
      <c r="I173" s="179"/>
      <c r="J173" s="10">
        <f>J135</f>
        <v>298.89000000000004</v>
      </c>
      <c r="K173" s="20"/>
    </row>
    <row r="174" spans="1:11" ht="14.65" customHeight="1" x14ac:dyDescent="0.2">
      <c r="A174" s="67" t="s">
        <v>89</v>
      </c>
      <c r="B174" s="179" t="s">
        <v>174</v>
      </c>
      <c r="C174" s="179"/>
      <c r="D174" s="179"/>
      <c r="E174" s="179"/>
      <c r="F174" s="179"/>
      <c r="G174" s="179"/>
      <c r="H174" s="179"/>
      <c r="I174" s="179"/>
      <c r="J174" s="10">
        <f>J143</f>
        <v>807.20394444444446</v>
      </c>
      <c r="K174" s="20"/>
    </row>
    <row r="175" spans="1:11" ht="14.65" customHeight="1" x14ac:dyDescent="0.2">
      <c r="A175" s="180" t="s">
        <v>175</v>
      </c>
      <c r="B175" s="180"/>
      <c r="C175" s="180"/>
      <c r="D175" s="180"/>
      <c r="E175" s="180"/>
      <c r="F175" s="180"/>
      <c r="G175" s="180"/>
      <c r="H175" s="180"/>
      <c r="I175" s="180"/>
      <c r="J175" s="58">
        <f>SUM(J170:J174)</f>
        <v>4527.8239444444444</v>
      </c>
      <c r="K175" s="20"/>
    </row>
    <row r="176" spans="1:11" ht="14.65" customHeight="1" x14ac:dyDescent="0.2">
      <c r="A176" s="67" t="s">
        <v>91</v>
      </c>
      <c r="B176" s="179" t="s">
        <v>176</v>
      </c>
      <c r="C176" s="179"/>
      <c r="D176" s="179"/>
      <c r="E176" s="179"/>
      <c r="F176" s="179"/>
      <c r="G176" s="179"/>
      <c r="H176" s="179"/>
      <c r="I176" s="179"/>
      <c r="J176" s="10">
        <f>J161</f>
        <v>1115.5999999999999</v>
      </c>
      <c r="K176" s="20"/>
    </row>
    <row r="177" spans="1:11" ht="14.65" customHeight="1" x14ac:dyDescent="0.2">
      <c r="A177" s="180" t="s">
        <v>177</v>
      </c>
      <c r="B177" s="180"/>
      <c r="C177" s="180"/>
      <c r="D177" s="180"/>
      <c r="E177" s="180"/>
      <c r="F177" s="180"/>
      <c r="G177" s="180"/>
      <c r="H177" s="180"/>
      <c r="I177" s="180"/>
      <c r="J177" s="58">
        <f>SUM(J175:J176)</f>
        <v>5643.4239444444447</v>
      </c>
      <c r="K177" s="20"/>
    </row>
    <row r="178" spans="1:11" ht="17.100000000000001" customHeight="1" x14ac:dyDescent="0.2">
      <c r="A178" s="181" t="s">
        <v>178</v>
      </c>
      <c r="B178" s="181"/>
      <c r="C178" s="181"/>
      <c r="D178" s="181"/>
      <c r="E178" s="181"/>
      <c r="F178" s="181"/>
      <c r="G178" s="181"/>
      <c r="H178" s="181"/>
      <c r="I178" s="181"/>
      <c r="J178" s="181"/>
    </row>
    <row r="179" spans="1:11" ht="14.65" customHeight="1" x14ac:dyDescent="0.2">
      <c r="A179" s="142" t="s">
        <v>179</v>
      </c>
      <c r="B179" s="142"/>
      <c r="C179" s="142"/>
      <c r="D179" s="142"/>
      <c r="E179" s="142"/>
      <c r="F179" s="142"/>
      <c r="G179" s="142"/>
      <c r="H179" s="142"/>
      <c r="I179" s="142"/>
      <c r="J179" s="142"/>
    </row>
    <row r="180" spans="1:11" ht="39" customHeight="1" x14ac:dyDescent="0.2">
      <c r="A180" s="165" t="s">
        <v>180</v>
      </c>
      <c r="B180" s="165"/>
      <c r="C180" s="165"/>
      <c r="D180" s="165" t="s">
        <v>181</v>
      </c>
      <c r="E180" s="165"/>
      <c r="F180" s="165"/>
      <c r="G180" s="161" t="s">
        <v>182</v>
      </c>
      <c r="H180" s="161"/>
      <c r="I180" s="161" t="s">
        <v>183</v>
      </c>
      <c r="J180" s="161"/>
    </row>
    <row r="181" spans="1:11" ht="14.85" customHeight="1" x14ac:dyDescent="0.2">
      <c r="A181" s="169" t="s">
        <v>184</v>
      </c>
      <c r="B181" s="169"/>
      <c r="C181" s="169"/>
      <c r="D181" s="69">
        <v>1</v>
      </c>
      <c r="E181" s="60">
        <v>30</v>
      </c>
      <c r="F181" s="60">
        <f>E182</f>
        <v>1200</v>
      </c>
      <c r="G181" s="170">
        <v>0</v>
      </c>
      <c r="H181" s="170"/>
      <c r="I181" s="173">
        <f>ROUND((D181/E181*F181)*G181,2)</f>
        <v>0</v>
      </c>
      <c r="J181" s="173"/>
    </row>
    <row r="182" spans="1:11" ht="14.65" customHeight="1" x14ac:dyDescent="0.2">
      <c r="A182" s="169" t="s">
        <v>185</v>
      </c>
      <c r="B182" s="169"/>
      <c r="C182" s="169"/>
      <c r="D182" s="69">
        <v>1</v>
      </c>
      <c r="E182" s="171">
        <v>1200</v>
      </c>
      <c r="F182" s="171"/>
      <c r="G182" s="170">
        <f>J177</f>
        <v>5643.4239444444447</v>
      </c>
      <c r="H182" s="170"/>
      <c r="I182" s="173">
        <f>ROUND((D182/E182)*G182,2)</f>
        <v>4.7</v>
      </c>
      <c r="J182" s="173"/>
      <c r="K182" s="47"/>
    </row>
    <row r="183" spans="1:11" ht="14.65" customHeight="1" x14ac:dyDescent="0.2">
      <c r="A183" s="162" t="s">
        <v>186</v>
      </c>
      <c r="B183" s="162"/>
      <c r="C183" s="162"/>
      <c r="D183" s="162"/>
      <c r="E183" s="162"/>
      <c r="F183" s="162"/>
      <c r="G183" s="162"/>
      <c r="H183" s="162"/>
      <c r="I183" s="173">
        <f>SUM(I181+I182)</f>
        <v>4.7</v>
      </c>
      <c r="J183" s="173"/>
    </row>
    <row r="184" spans="1:11" ht="14.65" customHeight="1" x14ac:dyDescent="0.2">
      <c r="A184" s="174"/>
      <c r="B184" s="174"/>
      <c r="C184" s="174"/>
      <c r="D184" s="174"/>
      <c r="E184" s="174"/>
      <c r="F184" s="174"/>
      <c r="G184" s="174"/>
      <c r="H184" s="174"/>
      <c r="I184" s="174"/>
      <c r="J184" s="174"/>
    </row>
    <row r="185" spans="1:11" ht="14.65" customHeight="1" x14ac:dyDescent="0.2">
      <c r="A185" s="178" t="s">
        <v>187</v>
      </c>
      <c r="B185" s="178"/>
      <c r="C185" s="178"/>
      <c r="D185" s="1">
        <v>1</v>
      </c>
      <c r="E185" s="1">
        <v>30</v>
      </c>
      <c r="F185" s="71">
        <f>E186</f>
        <v>450</v>
      </c>
      <c r="G185" s="175">
        <v>0</v>
      </c>
      <c r="H185" s="175"/>
      <c r="I185" s="173">
        <f>ROUND((D185/E185*F185)*G185,2)</f>
        <v>0</v>
      </c>
      <c r="J185" s="173"/>
    </row>
    <row r="186" spans="1:11" ht="14.65" customHeight="1" x14ac:dyDescent="0.2">
      <c r="A186" s="178" t="s">
        <v>188</v>
      </c>
      <c r="B186" s="178"/>
      <c r="C186" s="178"/>
      <c r="D186" s="72">
        <v>1</v>
      </c>
      <c r="E186" s="176">
        <v>450</v>
      </c>
      <c r="F186" s="176"/>
      <c r="G186" s="175">
        <f>J177</f>
        <v>5643.4239444444447</v>
      </c>
      <c r="H186" s="175"/>
      <c r="I186" s="173">
        <f>ROUND((D186/E186)*G186,2)</f>
        <v>12.54</v>
      </c>
      <c r="J186" s="173"/>
      <c r="K186" s="47"/>
    </row>
    <row r="187" spans="1:11" ht="14.65" customHeight="1" x14ac:dyDescent="0.2">
      <c r="A187" s="162" t="s">
        <v>186</v>
      </c>
      <c r="B187" s="162"/>
      <c r="C187" s="162"/>
      <c r="D187" s="162"/>
      <c r="E187" s="162"/>
      <c r="F187" s="162"/>
      <c r="G187" s="162"/>
      <c r="H187" s="162"/>
      <c r="I187" s="173">
        <f>SUM(I185+I186)</f>
        <v>12.54</v>
      </c>
      <c r="J187" s="173"/>
    </row>
    <row r="188" spans="1:11" ht="14.65" customHeight="1" x14ac:dyDescent="0.2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</row>
    <row r="189" spans="1:11" ht="21" customHeight="1" x14ac:dyDescent="0.2">
      <c r="A189" s="178" t="s">
        <v>189</v>
      </c>
      <c r="B189" s="178"/>
      <c r="C189" s="178"/>
      <c r="D189" s="1">
        <v>1</v>
      </c>
      <c r="E189" s="1">
        <v>30</v>
      </c>
      <c r="F189" s="71">
        <f>E190</f>
        <v>2500</v>
      </c>
      <c r="G189" s="175">
        <v>0</v>
      </c>
      <c r="H189" s="175"/>
      <c r="I189" s="173">
        <f>ROUND((D189/E189*F189)*G189,2)</f>
        <v>0</v>
      </c>
      <c r="J189" s="173"/>
    </row>
    <row r="190" spans="1:11" ht="14.65" customHeight="1" x14ac:dyDescent="0.2">
      <c r="A190" s="178" t="s">
        <v>190</v>
      </c>
      <c r="B190" s="178"/>
      <c r="C190" s="178"/>
      <c r="D190" s="72">
        <v>1</v>
      </c>
      <c r="E190" s="176">
        <v>2500</v>
      </c>
      <c r="F190" s="176"/>
      <c r="G190" s="175">
        <f>J177</f>
        <v>5643.4239444444447</v>
      </c>
      <c r="H190" s="175"/>
      <c r="I190" s="173">
        <f>ROUND((D190/E190)*G190,2)</f>
        <v>2.2599999999999998</v>
      </c>
      <c r="J190" s="173"/>
      <c r="K190" s="47"/>
    </row>
    <row r="191" spans="1:11" ht="14.65" customHeight="1" x14ac:dyDescent="0.2">
      <c r="A191" s="162" t="s">
        <v>186</v>
      </c>
      <c r="B191" s="162"/>
      <c r="C191" s="162"/>
      <c r="D191" s="162"/>
      <c r="E191" s="162"/>
      <c r="F191" s="162"/>
      <c r="G191" s="162"/>
      <c r="H191" s="162"/>
      <c r="I191" s="173">
        <f>SUM(I189+I190)</f>
        <v>2.2599999999999998</v>
      </c>
      <c r="J191" s="173"/>
    </row>
    <row r="192" spans="1:11" ht="14.65" customHeight="1" x14ac:dyDescent="0.2">
      <c r="A192" s="174"/>
      <c r="B192" s="174"/>
      <c r="C192" s="174"/>
      <c r="D192" s="174"/>
      <c r="E192" s="174"/>
      <c r="F192" s="174"/>
      <c r="G192" s="174"/>
      <c r="H192" s="174"/>
      <c r="I192" s="174"/>
      <c r="J192" s="174"/>
    </row>
    <row r="193" spans="1:12" ht="22.5" customHeight="1" x14ac:dyDescent="0.2">
      <c r="A193" s="169" t="s">
        <v>191</v>
      </c>
      <c r="B193" s="169"/>
      <c r="C193" s="169"/>
      <c r="D193" s="60">
        <v>1</v>
      </c>
      <c r="E193" s="60">
        <v>30</v>
      </c>
      <c r="F193" s="70">
        <f>E194</f>
        <v>1500</v>
      </c>
      <c r="G193" s="177">
        <v>0</v>
      </c>
      <c r="H193" s="177"/>
      <c r="I193" s="173">
        <f>ROUND((D193/E193*F193)*G193,2)</f>
        <v>0</v>
      </c>
      <c r="J193" s="173"/>
    </row>
    <row r="194" spans="1:12" ht="22.35" customHeight="1" x14ac:dyDescent="0.2">
      <c r="A194" s="169" t="s">
        <v>192</v>
      </c>
      <c r="B194" s="169"/>
      <c r="C194" s="169"/>
      <c r="D194" s="60">
        <v>1</v>
      </c>
      <c r="E194" s="171">
        <v>1500</v>
      </c>
      <c r="F194" s="171"/>
      <c r="G194" s="175">
        <f>J177</f>
        <v>5643.4239444444447</v>
      </c>
      <c r="H194" s="175"/>
      <c r="I194" s="173">
        <f>ROUND((D194/E194)*G194,2)</f>
        <v>3.76</v>
      </c>
      <c r="J194" s="173"/>
      <c r="K194" s="47"/>
      <c r="L194" s="46"/>
    </row>
    <row r="195" spans="1:12" ht="14.65" customHeight="1" x14ac:dyDescent="0.2">
      <c r="A195" s="162" t="s">
        <v>186</v>
      </c>
      <c r="B195" s="162"/>
      <c r="C195" s="162"/>
      <c r="D195" s="162"/>
      <c r="E195" s="162"/>
      <c r="F195" s="162"/>
      <c r="G195" s="162"/>
      <c r="H195" s="162"/>
      <c r="I195" s="173">
        <f>SUM(I193+I194)</f>
        <v>3.76</v>
      </c>
      <c r="J195" s="173"/>
    </row>
    <row r="196" spans="1:12" ht="14.65" customHeight="1" x14ac:dyDescent="0.2">
      <c r="A196" s="174"/>
      <c r="B196" s="174"/>
      <c r="C196" s="174"/>
      <c r="D196" s="174"/>
      <c r="E196" s="174"/>
      <c r="F196" s="174"/>
      <c r="G196" s="174"/>
      <c r="H196" s="174"/>
      <c r="I196" s="174"/>
      <c r="J196" s="174"/>
    </row>
    <row r="197" spans="1:12" ht="14.65" customHeight="1" x14ac:dyDescent="0.2">
      <c r="A197" s="169" t="s">
        <v>193</v>
      </c>
      <c r="B197" s="169"/>
      <c r="C197" s="169"/>
      <c r="D197" s="1">
        <v>1</v>
      </c>
      <c r="E197" s="1">
        <v>30</v>
      </c>
      <c r="F197" s="71">
        <f>E198</f>
        <v>300</v>
      </c>
      <c r="G197" s="175">
        <v>0</v>
      </c>
      <c r="H197" s="175"/>
      <c r="I197" s="173">
        <f>ROUND((D197/E197*F197)*G197,2)</f>
        <v>0</v>
      </c>
      <c r="J197" s="173"/>
    </row>
    <row r="198" spans="1:12" ht="14.65" customHeight="1" x14ac:dyDescent="0.2">
      <c r="A198" s="169" t="s">
        <v>194</v>
      </c>
      <c r="B198" s="169"/>
      <c r="C198" s="169"/>
      <c r="D198" s="1">
        <v>1</v>
      </c>
      <c r="E198" s="176">
        <v>300</v>
      </c>
      <c r="F198" s="176"/>
      <c r="G198" s="175">
        <f>J177</f>
        <v>5643.4239444444447</v>
      </c>
      <c r="H198" s="175"/>
      <c r="I198" s="173">
        <f>ROUND((D198/E198)*G198,2)</f>
        <v>18.809999999999999</v>
      </c>
      <c r="J198" s="173"/>
      <c r="K198" s="47"/>
      <c r="L198" s="73"/>
    </row>
    <row r="199" spans="1:12" ht="14.65" customHeight="1" x14ac:dyDescent="0.2">
      <c r="A199" s="172" t="s">
        <v>186</v>
      </c>
      <c r="B199" s="172"/>
      <c r="C199" s="172"/>
      <c r="D199" s="172"/>
      <c r="E199" s="172"/>
      <c r="F199" s="172"/>
      <c r="G199" s="172"/>
      <c r="H199" s="172"/>
      <c r="I199" s="173">
        <f>SUM(I197+I198)</f>
        <v>18.809999999999999</v>
      </c>
      <c r="J199" s="173"/>
    </row>
    <row r="200" spans="1:12" ht="14.65" customHeight="1" x14ac:dyDescent="0.2">
      <c r="A200" s="174"/>
      <c r="B200" s="174"/>
      <c r="C200" s="174"/>
      <c r="D200" s="174"/>
      <c r="E200" s="174"/>
      <c r="F200" s="174"/>
      <c r="G200" s="174"/>
      <c r="H200" s="174"/>
      <c r="I200" s="174"/>
      <c r="J200" s="174"/>
    </row>
    <row r="201" spans="1:12" ht="22.5" customHeight="1" x14ac:dyDescent="0.2">
      <c r="A201" s="169" t="s">
        <v>195</v>
      </c>
      <c r="B201" s="169"/>
      <c r="C201" s="169"/>
      <c r="D201" s="74">
        <v>1</v>
      </c>
      <c r="E201" s="74" t="s">
        <v>196</v>
      </c>
      <c r="F201" s="70">
        <f>E202</f>
        <v>9000</v>
      </c>
      <c r="G201" s="170">
        <v>0</v>
      </c>
      <c r="H201" s="170"/>
      <c r="I201" s="163">
        <v>0</v>
      </c>
      <c r="J201" s="163"/>
    </row>
    <row r="202" spans="1:12" ht="22.5" customHeight="1" x14ac:dyDescent="0.2">
      <c r="A202" s="169" t="s">
        <v>197</v>
      </c>
      <c r="B202" s="169"/>
      <c r="C202" s="169"/>
      <c r="D202" s="74">
        <v>1</v>
      </c>
      <c r="E202" s="171">
        <v>9000</v>
      </c>
      <c r="F202" s="171"/>
      <c r="G202" s="170">
        <f>J177</f>
        <v>5643.4239444444447</v>
      </c>
      <c r="H202" s="170"/>
      <c r="I202" s="163">
        <f>ROUND((D202/E202)*G202,2)</f>
        <v>0.63</v>
      </c>
      <c r="J202" s="163"/>
      <c r="K202" s="47"/>
      <c r="L202" s="46"/>
    </row>
    <row r="203" spans="1:12" ht="14.65" customHeight="1" x14ac:dyDescent="0.2">
      <c r="A203" s="162" t="s">
        <v>186</v>
      </c>
      <c r="B203" s="162"/>
      <c r="C203" s="162"/>
      <c r="D203" s="162"/>
      <c r="E203" s="162"/>
      <c r="F203" s="162"/>
      <c r="G203" s="162"/>
      <c r="H203" s="162"/>
      <c r="I203" s="163">
        <f>SUM(I201+I202)</f>
        <v>0.63</v>
      </c>
      <c r="J203" s="163"/>
    </row>
    <row r="204" spans="1:12" ht="14.65" customHeight="1" x14ac:dyDescent="0.2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</row>
    <row r="205" spans="1:12" ht="22.5" customHeight="1" x14ac:dyDescent="0.2">
      <c r="A205" s="169" t="s">
        <v>198</v>
      </c>
      <c r="B205" s="169"/>
      <c r="C205" s="169"/>
      <c r="D205" s="74">
        <v>1</v>
      </c>
      <c r="E205" s="74" t="s">
        <v>196</v>
      </c>
      <c r="F205" s="70">
        <f>E206</f>
        <v>100000</v>
      </c>
      <c r="G205" s="170">
        <v>0</v>
      </c>
      <c r="H205" s="170"/>
      <c r="I205" s="163">
        <v>0</v>
      </c>
      <c r="J205" s="163"/>
    </row>
    <row r="206" spans="1:12" ht="26.25" customHeight="1" x14ac:dyDescent="0.2">
      <c r="A206" s="169" t="s">
        <v>199</v>
      </c>
      <c r="B206" s="169"/>
      <c r="C206" s="169"/>
      <c r="D206" s="74">
        <v>1</v>
      </c>
      <c r="E206" s="171">
        <v>100000</v>
      </c>
      <c r="F206" s="171"/>
      <c r="G206" s="170">
        <f>J177</f>
        <v>5643.4239444444447</v>
      </c>
      <c r="H206" s="170"/>
      <c r="I206" s="163">
        <f>ROUND((D206/E206)*G206,2)</f>
        <v>0.06</v>
      </c>
      <c r="J206" s="163"/>
      <c r="K206" s="47"/>
      <c r="L206" s="46"/>
    </row>
    <row r="207" spans="1:12" ht="14.65" customHeight="1" x14ac:dyDescent="0.2">
      <c r="A207" s="162" t="s">
        <v>186</v>
      </c>
      <c r="B207" s="162"/>
      <c r="C207" s="162"/>
      <c r="D207" s="162"/>
      <c r="E207" s="162"/>
      <c r="F207" s="162"/>
      <c r="G207" s="162"/>
      <c r="H207" s="162"/>
      <c r="I207" s="163">
        <f>SUM(I205+I206)</f>
        <v>0.06</v>
      </c>
      <c r="J207" s="163"/>
    </row>
    <row r="208" spans="1:12" ht="14.65" customHeight="1" x14ac:dyDescent="0.2">
      <c r="A208" s="164"/>
      <c r="B208" s="164"/>
      <c r="C208" s="164"/>
      <c r="D208" s="164"/>
      <c r="E208" s="164"/>
      <c r="F208" s="164"/>
      <c r="G208" s="164"/>
      <c r="H208" s="164"/>
      <c r="I208" s="164"/>
      <c r="J208" s="164"/>
    </row>
    <row r="209" spans="1:14" ht="68.25" customHeight="1" x14ac:dyDescent="0.2">
      <c r="A209" s="68" t="s">
        <v>200</v>
      </c>
      <c r="B209" s="165" t="s">
        <v>201</v>
      </c>
      <c r="C209" s="165"/>
      <c r="D209" s="165"/>
      <c r="E209" s="75" t="s">
        <v>202</v>
      </c>
      <c r="F209" s="166" t="s">
        <v>203</v>
      </c>
      <c r="G209" s="166"/>
      <c r="H209" s="75" t="s">
        <v>204</v>
      </c>
      <c r="I209" s="75" t="s">
        <v>205</v>
      </c>
      <c r="J209" s="75" t="s">
        <v>206</v>
      </c>
    </row>
    <row r="210" spans="1:14" ht="14.65" customHeight="1" x14ac:dyDescent="0.2">
      <c r="A210" s="138"/>
      <c r="B210" s="138"/>
      <c r="C210" s="138"/>
      <c r="D210" s="138"/>
      <c r="E210" s="138"/>
      <c r="F210" s="138"/>
      <c r="G210" s="138"/>
      <c r="H210" s="138"/>
      <c r="I210" s="138"/>
      <c r="J210" s="138"/>
    </row>
    <row r="211" spans="1:14" ht="69.400000000000006" customHeight="1" x14ac:dyDescent="0.2">
      <c r="A211" s="76" t="s">
        <v>207</v>
      </c>
      <c r="B211" s="77">
        <v>1</v>
      </c>
      <c r="C211" s="77">
        <v>30</v>
      </c>
      <c r="D211" s="78">
        <f>C212</f>
        <v>760</v>
      </c>
      <c r="E211" s="60">
        <v>16</v>
      </c>
      <c r="F211" s="79" t="s">
        <v>208</v>
      </c>
      <c r="G211" s="79" t="s">
        <v>209</v>
      </c>
      <c r="H211" s="80">
        <f>ROUND((B211/(C211*D211))*E211*(F211/G211),7)</f>
        <v>3.7000000000000002E-6</v>
      </c>
      <c r="I211" s="61">
        <v>0</v>
      </c>
      <c r="J211" s="61">
        <f>ROUND(H211*I211,2)</f>
        <v>0</v>
      </c>
      <c r="K211" s="81"/>
      <c r="L211" s="47"/>
      <c r="M211" s="47"/>
    </row>
    <row r="212" spans="1:14" ht="40.700000000000003" customHeight="1" x14ac:dyDescent="0.2">
      <c r="A212" s="76" t="s">
        <v>210</v>
      </c>
      <c r="B212" s="77">
        <v>1</v>
      </c>
      <c r="C212" s="167">
        <v>760</v>
      </c>
      <c r="D212" s="167"/>
      <c r="E212" s="60">
        <v>16</v>
      </c>
      <c r="F212" s="79" t="s">
        <v>208</v>
      </c>
      <c r="G212" s="79" t="s">
        <v>209</v>
      </c>
      <c r="H212" s="80">
        <f>ROUND((B212/C212)*E212*(F212/G212),7)</f>
        <v>1.115E-4</v>
      </c>
      <c r="I212" s="61">
        <f>J177</f>
        <v>5643.4239444444447</v>
      </c>
      <c r="J212" s="61">
        <f>ROUND(H212*I212,2)</f>
        <v>0.63</v>
      </c>
      <c r="K212" s="82"/>
      <c r="L212" s="83"/>
      <c r="M212" s="47"/>
    </row>
    <row r="213" spans="1:14" ht="102" x14ac:dyDescent="0.2">
      <c r="A213" s="76" t="s">
        <v>211</v>
      </c>
      <c r="B213" s="77">
        <v>1</v>
      </c>
      <c r="C213" s="167">
        <v>760</v>
      </c>
      <c r="D213" s="167"/>
      <c r="E213" s="60">
        <v>16</v>
      </c>
      <c r="F213" s="79" t="s">
        <v>208</v>
      </c>
      <c r="G213" s="79" t="s">
        <v>209</v>
      </c>
      <c r="H213" s="80">
        <f>ROUND((B213/C213)*E213*(F213/G213),7)</f>
        <v>1.115E-4</v>
      </c>
      <c r="I213" s="61">
        <f>J177</f>
        <v>5643.4239444444447</v>
      </c>
      <c r="J213" s="61">
        <f>ROUND(H213*I213,2)</f>
        <v>0.63</v>
      </c>
      <c r="K213" s="81"/>
      <c r="L213" s="83"/>
      <c r="M213" s="47"/>
    </row>
    <row r="214" spans="1:14" ht="32.25" customHeight="1" x14ac:dyDescent="0.2">
      <c r="A214" s="162" t="s">
        <v>186</v>
      </c>
      <c r="B214" s="162"/>
      <c r="C214" s="162"/>
      <c r="D214" s="162"/>
      <c r="E214" s="162"/>
      <c r="F214" s="162"/>
      <c r="G214" s="162"/>
      <c r="H214" s="162"/>
      <c r="I214" s="162"/>
      <c r="J214" s="61">
        <f>SUM(J211:J213)</f>
        <v>1.26</v>
      </c>
      <c r="M214" s="47"/>
      <c r="N214" s="84"/>
    </row>
    <row r="215" spans="1:14" ht="14.65" customHeight="1" x14ac:dyDescent="0.2">
      <c r="A215" s="156"/>
      <c r="B215" s="156"/>
      <c r="C215" s="156"/>
      <c r="D215" s="156"/>
      <c r="E215" s="156"/>
      <c r="F215" s="156"/>
      <c r="G215" s="156"/>
      <c r="H215" s="156"/>
      <c r="I215" s="156"/>
      <c r="J215" s="156"/>
    </row>
    <row r="216" spans="1:14" ht="17.100000000000001" customHeight="1" x14ac:dyDescent="0.2">
      <c r="A216" s="160" t="s">
        <v>212</v>
      </c>
      <c r="B216" s="160"/>
      <c r="C216" s="160"/>
      <c r="D216" s="160"/>
      <c r="E216" s="160"/>
      <c r="F216" s="160"/>
      <c r="G216" s="160"/>
      <c r="H216" s="160"/>
      <c r="I216" s="160"/>
      <c r="J216" s="160"/>
    </row>
    <row r="217" spans="1:14" ht="27.6" customHeight="1" x14ac:dyDescent="0.2">
      <c r="A217" s="143" t="s">
        <v>213</v>
      </c>
      <c r="B217" s="143"/>
      <c r="C217" s="143"/>
      <c r="D217" s="143"/>
      <c r="E217" s="143"/>
      <c r="F217" s="161" t="s">
        <v>214</v>
      </c>
      <c r="G217" s="161"/>
      <c r="H217" s="4" t="s">
        <v>215</v>
      </c>
      <c r="I217" s="161" t="s">
        <v>216</v>
      </c>
      <c r="J217" s="161"/>
    </row>
    <row r="218" spans="1:14" ht="27.6" customHeight="1" x14ac:dyDescent="0.2">
      <c r="A218" s="142" t="s">
        <v>21</v>
      </c>
      <c r="B218" s="142"/>
      <c r="C218" s="142"/>
      <c r="D218" s="142"/>
      <c r="E218" s="142"/>
      <c r="F218" s="158">
        <v>0</v>
      </c>
      <c r="G218" s="158"/>
      <c r="H218" s="85">
        <f t="shared" ref="H218:H225" si="1">I13</f>
        <v>0</v>
      </c>
      <c r="I218" s="158">
        <f t="shared" ref="I218:I224" si="2">ROUND(F218*H218,2)</f>
        <v>0</v>
      </c>
      <c r="J218" s="158"/>
      <c r="K218" s="47"/>
      <c r="L218" s="86"/>
      <c r="M218" s="47"/>
    </row>
    <row r="219" spans="1:14" ht="27.6" customHeight="1" x14ac:dyDescent="0.2">
      <c r="A219" s="142" t="s">
        <v>23</v>
      </c>
      <c r="B219" s="142"/>
      <c r="C219" s="142"/>
      <c r="D219" s="142"/>
      <c r="E219" s="142"/>
      <c r="F219" s="157">
        <f>I183</f>
        <v>4.7</v>
      </c>
      <c r="G219" s="157"/>
      <c r="H219" s="85">
        <f t="shared" si="1"/>
        <v>1185.76</v>
      </c>
      <c r="I219" s="158">
        <f t="shared" si="2"/>
        <v>5573.07</v>
      </c>
      <c r="J219" s="158"/>
      <c r="K219" s="47"/>
      <c r="L219" s="86"/>
      <c r="M219" s="47"/>
    </row>
    <row r="220" spans="1:14" ht="27.6" customHeight="1" x14ac:dyDescent="0.2">
      <c r="A220" s="142" t="s">
        <v>24</v>
      </c>
      <c r="B220" s="142"/>
      <c r="C220" s="142"/>
      <c r="D220" s="142"/>
      <c r="E220" s="142"/>
      <c r="F220" s="157">
        <f>I187</f>
        <v>12.54</v>
      </c>
      <c r="G220" s="157"/>
      <c r="H220" s="85">
        <f t="shared" si="1"/>
        <v>237.26</v>
      </c>
      <c r="I220" s="158">
        <f t="shared" si="2"/>
        <v>2975.24</v>
      </c>
      <c r="J220" s="158"/>
      <c r="K220" s="47"/>
      <c r="L220" s="86"/>
      <c r="M220" s="47"/>
    </row>
    <row r="221" spans="1:14" ht="27.6" customHeight="1" x14ac:dyDescent="0.2">
      <c r="A221" s="142" t="s">
        <v>25</v>
      </c>
      <c r="B221" s="142"/>
      <c r="C221" s="142"/>
      <c r="D221" s="142"/>
      <c r="E221" s="142"/>
      <c r="F221" s="157">
        <f>I191</f>
        <v>2.2599999999999998</v>
      </c>
      <c r="G221" s="157"/>
      <c r="H221" s="85">
        <f t="shared" si="1"/>
        <v>89.31</v>
      </c>
      <c r="I221" s="158">
        <f t="shared" si="2"/>
        <v>201.84</v>
      </c>
      <c r="J221" s="158"/>
      <c r="K221" s="47"/>
      <c r="L221" s="86"/>
      <c r="M221" s="47"/>
    </row>
    <row r="222" spans="1:14" ht="27.6" customHeight="1" x14ac:dyDescent="0.2">
      <c r="A222" s="142" t="s">
        <v>26</v>
      </c>
      <c r="B222" s="142"/>
      <c r="C222" s="142"/>
      <c r="D222" s="142"/>
      <c r="E222" s="142"/>
      <c r="F222" s="158">
        <v>0</v>
      </c>
      <c r="G222" s="158"/>
      <c r="H222" s="85">
        <f t="shared" si="1"/>
        <v>0</v>
      </c>
      <c r="I222" s="158">
        <f t="shared" si="2"/>
        <v>0</v>
      </c>
      <c r="J222" s="158"/>
      <c r="K222" s="47"/>
      <c r="L222" s="86"/>
      <c r="M222" s="47"/>
    </row>
    <row r="223" spans="1:14" ht="27.6" customHeight="1" x14ac:dyDescent="0.2">
      <c r="A223" s="142" t="s">
        <v>27</v>
      </c>
      <c r="B223" s="142"/>
      <c r="C223" s="142"/>
      <c r="D223" s="142"/>
      <c r="E223" s="142"/>
      <c r="F223" s="157">
        <f>I195</f>
        <v>3.76</v>
      </c>
      <c r="G223" s="157"/>
      <c r="H223" s="85">
        <f t="shared" si="1"/>
        <v>305.70999999999998</v>
      </c>
      <c r="I223" s="158">
        <f t="shared" si="2"/>
        <v>1149.47</v>
      </c>
      <c r="J223" s="158"/>
      <c r="K223" s="47"/>
      <c r="L223" s="86"/>
      <c r="M223" s="47"/>
    </row>
    <row r="224" spans="1:14" ht="27.6" customHeight="1" x14ac:dyDescent="0.2">
      <c r="A224" s="142" t="s">
        <v>217</v>
      </c>
      <c r="B224" s="142"/>
      <c r="C224" s="142"/>
      <c r="D224" s="142"/>
      <c r="E224" s="142"/>
      <c r="F224" s="157">
        <f>I199</f>
        <v>18.809999999999999</v>
      </c>
      <c r="G224" s="157"/>
      <c r="H224" s="85">
        <f t="shared" si="1"/>
        <v>98.76</v>
      </c>
      <c r="I224" s="158">
        <f t="shared" si="2"/>
        <v>1857.68</v>
      </c>
      <c r="J224" s="158"/>
      <c r="K224" s="47"/>
      <c r="L224" s="86"/>
      <c r="M224" s="47"/>
    </row>
    <row r="225" spans="1:14" ht="27.6" customHeight="1" x14ac:dyDescent="0.2">
      <c r="A225" s="151" t="s">
        <v>32</v>
      </c>
      <c r="B225" s="151"/>
      <c r="C225" s="151"/>
      <c r="D225" s="151"/>
      <c r="E225" s="151"/>
      <c r="F225" s="151"/>
      <c r="G225" s="151"/>
      <c r="H225" s="87">
        <f t="shared" si="1"/>
        <v>1916.8</v>
      </c>
      <c r="I225" s="152">
        <f>SUM(I218:I224)</f>
        <v>11757.3</v>
      </c>
      <c r="J225" s="152"/>
      <c r="L225" s="88"/>
      <c r="M225" s="88"/>
      <c r="N225" s="89"/>
    </row>
    <row r="226" spans="1:14" ht="15.75" customHeight="1" x14ac:dyDescent="0.2">
      <c r="A226" s="159"/>
      <c r="B226" s="159"/>
      <c r="C226" s="159"/>
      <c r="D226" s="159"/>
      <c r="E226" s="159"/>
      <c r="F226" s="159"/>
      <c r="G226" s="159"/>
      <c r="H226" s="159"/>
      <c r="I226" s="159"/>
      <c r="J226" s="159"/>
    </row>
    <row r="227" spans="1:14" ht="14.65" customHeight="1" x14ac:dyDescent="0.2">
      <c r="A227" s="153" t="s">
        <v>218</v>
      </c>
      <c r="B227" s="153"/>
      <c r="C227" s="153"/>
      <c r="D227" s="153"/>
      <c r="E227" s="153"/>
      <c r="F227" s="154">
        <f>I203</f>
        <v>0.63</v>
      </c>
      <c r="G227" s="154"/>
      <c r="H227" s="90">
        <f>J23</f>
        <v>6975.29</v>
      </c>
      <c r="I227" s="155">
        <f>ROUND(F227*H227,2)</f>
        <v>4394.43</v>
      </c>
      <c r="J227" s="155"/>
      <c r="K227" s="83"/>
      <c r="L227" s="83"/>
      <c r="M227" s="47"/>
    </row>
    <row r="228" spans="1:14" ht="22.35" customHeight="1" x14ac:dyDescent="0.2">
      <c r="A228" s="142" t="s">
        <v>219</v>
      </c>
      <c r="B228" s="142"/>
      <c r="C228" s="142"/>
      <c r="D228" s="142"/>
      <c r="E228" s="142"/>
      <c r="F228" s="149">
        <f>I207</f>
        <v>0.06</v>
      </c>
      <c r="G228" s="149"/>
      <c r="H228" s="90">
        <f>J27</f>
        <v>8992.76</v>
      </c>
      <c r="I228" s="155">
        <f>ROUND(F228*H228,2)</f>
        <v>539.57000000000005</v>
      </c>
      <c r="J228" s="155"/>
      <c r="K228" s="83"/>
      <c r="L228" s="83"/>
      <c r="M228" s="47"/>
    </row>
    <row r="229" spans="1:14" ht="14.65" customHeight="1" x14ac:dyDescent="0.2">
      <c r="A229" s="151" t="s">
        <v>39</v>
      </c>
      <c r="B229" s="151"/>
      <c r="C229" s="151"/>
      <c r="D229" s="151"/>
      <c r="E229" s="151"/>
      <c r="F229" s="151"/>
      <c r="G229" s="151"/>
      <c r="H229" s="87">
        <f>J28</f>
        <v>15968.05</v>
      </c>
      <c r="I229" s="152">
        <f>SUM(I227:I228)</f>
        <v>4934</v>
      </c>
      <c r="J229" s="152"/>
      <c r="L229" s="91"/>
      <c r="M229" s="91"/>
      <c r="N229" s="9"/>
    </row>
    <row r="230" spans="1:14" ht="14.65" customHeight="1" x14ac:dyDescent="0.2">
      <c r="A230" s="156"/>
      <c r="B230" s="156"/>
      <c r="C230" s="156"/>
      <c r="D230" s="156"/>
      <c r="E230" s="156"/>
      <c r="F230" s="156"/>
      <c r="G230" s="156"/>
      <c r="H230" s="156"/>
      <c r="I230" s="156"/>
      <c r="J230" s="156"/>
    </row>
    <row r="231" spans="1:14" ht="22.35" customHeight="1" x14ac:dyDescent="0.2">
      <c r="A231" s="142" t="s">
        <v>220</v>
      </c>
      <c r="B231" s="142"/>
      <c r="C231" s="142"/>
      <c r="D231" s="142"/>
      <c r="E231" s="142"/>
      <c r="F231" s="149">
        <f>J212</f>
        <v>0.63</v>
      </c>
      <c r="G231" s="149"/>
      <c r="H231" s="40">
        <f>J32</f>
        <v>320.58</v>
      </c>
      <c r="I231" s="150">
        <f>ROUND(F231*H231,2)</f>
        <v>201.97</v>
      </c>
      <c r="J231" s="150"/>
      <c r="K231" s="83"/>
      <c r="L231" s="83"/>
      <c r="M231" s="47"/>
    </row>
    <row r="232" spans="1:14" ht="22.35" customHeight="1" x14ac:dyDescent="0.2">
      <c r="A232" s="142" t="s">
        <v>221</v>
      </c>
      <c r="B232" s="142"/>
      <c r="C232" s="142"/>
      <c r="D232" s="142"/>
      <c r="E232" s="142"/>
      <c r="F232" s="149">
        <f>J213</f>
        <v>0.63</v>
      </c>
      <c r="G232" s="149"/>
      <c r="H232" s="40">
        <f>J31</f>
        <v>320.58</v>
      </c>
      <c r="I232" s="150">
        <f>ROUND(F232*H232,2)</f>
        <v>201.97</v>
      </c>
      <c r="J232" s="150"/>
      <c r="K232" s="83"/>
      <c r="L232" s="83"/>
      <c r="M232" s="47"/>
    </row>
    <row r="233" spans="1:14" ht="14.65" customHeight="1" x14ac:dyDescent="0.2">
      <c r="A233" s="151" t="s">
        <v>222</v>
      </c>
      <c r="B233" s="151"/>
      <c r="C233" s="151"/>
      <c r="D233" s="151"/>
      <c r="E233" s="151"/>
      <c r="F233" s="151"/>
      <c r="G233" s="151"/>
      <c r="H233" s="87">
        <f>J33</f>
        <v>641.16</v>
      </c>
      <c r="I233" s="152">
        <f>SUM(I231:I232)</f>
        <v>403.94</v>
      </c>
      <c r="J233" s="152"/>
      <c r="L233" s="92"/>
      <c r="M233" s="92"/>
      <c r="N233" s="9"/>
    </row>
    <row r="234" spans="1:14" ht="12.75" customHeight="1" x14ac:dyDescent="0.2">
      <c r="A234" s="138"/>
      <c r="B234" s="138"/>
      <c r="C234" s="138"/>
      <c r="D234" s="138"/>
      <c r="E234" s="138"/>
      <c r="F234" s="138"/>
      <c r="G234" s="138"/>
      <c r="H234" s="138"/>
      <c r="I234" s="138"/>
      <c r="J234" s="138"/>
    </row>
    <row r="235" spans="1:14" ht="14.65" customHeight="1" x14ac:dyDescent="0.2">
      <c r="A235" s="144" t="s">
        <v>48</v>
      </c>
      <c r="B235" s="144"/>
      <c r="C235" s="144"/>
      <c r="D235" s="144"/>
      <c r="E235" s="144"/>
      <c r="F235" s="144"/>
      <c r="G235" s="144"/>
      <c r="H235" s="90">
        <v>0</v>
      </c>
      <c r="I235" s="145">
        <f>J235</f>
        <v>0</v>
      </c>
      <c r="J235" s="145"/>
      <c r="K235" s="93"/>
    </row>
    <row r="236" spans="1:14" ht="14.65" customHeight="1" x14ac:dyDescent="0.2">
      <c r="A236" s="146" t="s">
        <v>49</v>
      </c>
      <c r="B236" s="146"/>
      <c r="C236" s="146"/>
      <c r="D236" s="146"/>
      <c r="E236" s="146"/>
      <c r="F236" s="146"/>
      <c r="G236" s="146"/>
      <c r="H236" s="94">
        <v>0</v>
      </c>
      <c r="I236" s="147">
        <f>I235</f>
        <v>0</v>
      </c>
      <c r="J236" s="147"/>
      <c r="K236" s="49"/>
      <c r="L236" s="9"/>
    </row>
    <row r="237" spans="1:14" ht="14.65" customHeight="1" x14ac:dyDescent="0.2">
      <c r="A237" s="138"/>
      <c r="B237" s="138"/>
      <c r="C237" s="138"/>
      <c r="D237" s="138"/>
      <c r="E237" s="138"/>
      <c r="F237" s="138"/>
      <c r="G237" s="138"/>
      <c r="H237" s="138"/>
      <c r="I237" s="138"/>
      <c r="J237" s="138"/>
    </row>
    <row r="238" spans="1:14" ht="14.65" customHeight="1" x14ac:dyDescent="0.2">
      <c r="A238" s="148" t="s">
        <v>186</v>
      </c>
      <c r="B238" s="148"/>
      <c r="C238" s="148"/>
      <c r="D238" s="148"/>
      <c r="E238" s="148"/>
      <c r="F238" s="148"/>
      <c r="G238" s="148"/>
      <c r="H238" s="94">
        <f>ROUND(H225+H229+H233+H236,2)</f>
        <v>18526.009999999998</v>
      </c>
      <c r="I238" s="147">
        <f>ROUND(I225+I229+I233+I236,2)</f>
        <v>17095.240000000002</v>
      </c>
      <c r="J238" s="147"/>
      <c r="L238" s="91"/>
      <c r="M238" s="91"/>
      <c r="N238" s="9"/>
    </row>
    <row r="239" spans="1:14" ht="12.75" customHeight="1" x14ac:dyDescent="0.2">
      <c r="A239" s="138"/>
      <c r="B239" s="138"/>
      <c r="C239" s="138"/>
      <c r="D239" s="138"/>
      <c r="E239" s="138"/>
      <c r="F239" s="138"/>
      <c r="G239" s="138"/>
      <c r="H239" s="138"/>
      <c r="I239" s="138"/>
      <c r="J239" s="138"/>
    </row>
    <row r="240" spans="1:14" ht="20.100000000000001" customHeight="1" x14ac:dyDescent="0.2">
      <c r="A240" s="139" t="s">
        <v>223</v>
      </c>
      <c r="B240" s="139"/>
      <c r="C240" s="139"/>
      <c r="D240" s="139"/>
      <c r="E240" s="139"/>
      <c r="F240" s="139"/>
      <c r="G240" s="139"/>
      <c r="H240" s="139"/>
      <c r="I240" s="140">
        <f>I238</f>
        <v>17095.240000000002</v>
      </c>
      <c r="J240" s="140"/>
      <c r="K240" s="95"/>
    </row>
    <row r="241" spans="1:11" ht="12.75" customHeight="1" x14ac:dyDescent="0.2">
      <c r="A241" s="138"/>
      <c r="B241" s="138"/>
      <c r="C241" s="138"/>
      <c r="D241" s="138"/>
      <c r="E241" s="138"/>
      <c r="F241" s="138"/>
      <c r="G241" s="138"/>
      <c r="H241" s="138"/>
      <c r="I241" s="138"/>
      <c r="J241" s="138"/>
    </row>
    <row r="242" spans="1:11" ht="20.100000000000001" customHeight="1" x14ac:dyDescent="0.2">
      <c r="A242" s="139" t="s">
        <v>224</v>
      </c>
      <c r="B242" s="139"/>
      <c r="C242" s="139"/>
      <c r="D242" s="139"/>
      <c r="E242" s="139"/>
      <c r="F242" s="139"/>
      <c r="G242" s="139"/>
      <c r="H242" s="139"/>
      <c r="I242" s="140">
        <f>H10</f>
        <v>30</v>
      </c>
      <c r="J242" s="140"/>
      <c r="K242" s="93"/>
    </row>
    <row r="243" spans="1:11" ht="12.75" customHeight="1" x14ac:dyDescent="0.2">
      <c r="A243" s="138"/>
      <c r="B243" s="138"/>
      <c r="C243" s="138"/>
      <c r="D243" s="138"/>
      <c r="E243" s="138"/>
      <c r="F243" s="138"/>
      <c r="G243" s="138"/>
      <c r="H243" s="138"/>
      <c r="I243" s="138"/>
      <c r="J243" s="138"/>
    </row>
    <row r="244" spans="1:11" ht="20.100000000000001" customHeight="1" x14ac:dyDescent="0.2">
      <c r="A244" s="141" t="s">
        <v>225</v>
      </c>
      <c r="B244" s="141"/>
      <c r="C244" s="141"/>
      <c r="D244" s="141"/>
      <c r="E244" s="141"/>
      <c r="F244" s="141"/>
      <c r="G244" s="141"/>
      <c r="H244" s="141"/>
      <c r="I244" s="140">
        <f>ROUND(I238*I242,2)</f>
        <v>512857.2</v>
      </c>
      <c r="J244" s="140"/>
      <c r="K244" s="96"/>
    </row>
    <row r="245" spans="1:11" ht="12.75" customHeight="1" x14ac:dyDescent="0.2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</row>
    <row r="246" spans="1:11" ht="27.6" customHeight="1" x14ac:dyDescent="0.2">
      <c r="A246" s="142" t="s">
        <v>226</v>
      </c>
      <c r="B246" s="142"/>
      <c r="C246" s="142"/>
      <c r="D246" s="142"/>
      <c r="E246" s="142"/>
      <c r="F246" s="142"/>
      <c r="G246" s="142"/>
      <c r="H246" s="142"/>
      <c r="I246" s="142"/>
      <c r="J246" s="142"/>
    </row>
    <row r="247" spans="1:11" ht="12.75" customHeight="1" x14ac:dyDescent="0.2">
      <c r="A247" s="143" t="s">
        <v>227</v>
      </c>
      <c r="B247" s="143"/>
      <c r="C247" s="143"/>
      <c r="D247" s="143"/>
      <c r="E247" s="143"/>
      <c r="F247" s="143"/>
      <c r="G247" s="143" t="s">
        <v>228</v>
      </c>
      <c r="H247" s="143"/>
      <c r="I247" s="143"/>
      <c r="J247" s="143"/>
    </row>
    <row r="248" spans="1:11" x14ac:dyDescent="0.2">
      <c r="A248" s="136" t="s">
        <v>229</v>
      </c>
      <c r="B248" s="136"/>
      <c r="C248" s="136"/>
      <c r="D248" s="136"/>
      <c r="E248" s="136"/>
      <c r="F248" s="136"/>
      <c r="G248" s="137">
        <f>TRUNC(I240/J177,3)</f>
        <v>3.0289999999999999</v>
      </c>
      <c r="H248" s="137"/>
      <c r="I248" s="137"/>
      <c r="J248" s="137"/>
    </row>
  </sheetData>
  <mergeCells count="370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F12"/>
    <mergeCell ref="G12:H12"/>
    <mergeCell ref="I12:J12"/>
    <mergeCell ref="A13:F13"/>
    <mergeCell ref="G13:H13"/>
    <mergeCell ref="I13:J13"/>
    <mergeCell ref="A14:F14"/>
    <mergeCell ref="G14:H14"/>
    <mergeCell ref="I14:J14"/>
    <mergeCell ref="A15:F15"/>
    <mergeCell ref="G15:H15"/>
    <mergeCell ref="I15:J15"/>
    <mergeCell ref="A16:F16"/>
    <mergeCell ref="G16:H16"/>
    <mergeCell ref="I16:J16"/>
    <mergeCell ref="A17:F17"/>
    <mergeCell ref="G17:H17"/>
    <mergeCell ref="I17:J17"/>
    <mergeCell ref="A18:F18"/>
    <mergeCell ref="G18:H18"/>
    <mergeCell ref="I18:J18"/>
    <mergeCell ref="A19:F19"/>
    <mergeCell ref="G19:H19"/>
    <mergeCell ref="I19:J19"/>
    <mergeCell ref="A20:H20"/>
    <mergeCell ref="I20:J20"/>
    <mergeCell ref="A21:J21"/>
    <mergeCell ref="A22:G22"/>
    <mergeCell ref="H22:I22"/>
    <mergeCell ref="A23:G23"/>
    <mergeCell ref="H23:I23"/>
    <mergeCell ref="A24:G24"/>
    <mergeCell ref="H24:I24"/>
    <mergeCell ref="A25:G25"/>
    <mergeCell ref="H25:I25"/>
    <mergeCell ref="A26:G26"/>
    <mergeCell ref="H26:I26"/>
    <mergeCell ref="A27:G27"/>
    <mergeCell ref="H27:I27"/>
    <mergeCell ref="A28:I28"/>
    <mergeCell ref="A29:J29"/>
    <mergeCell ref="A30:G30"/>
    <mergeCell ref="H30:I30"/>
    <mergeCell ref="A31:G31"/>
    <mergeCell ref="H31:I31"/>
    <mergeCell ref="A32:G32"/>
    <mergeCell ref="H32:I32"/>
    <mergeCell ref="A33:I33"/>
    <mergeCell ref="A34:J34"/>
    <mergeCell ref="A35:G35"/>
    <mergeCell ref="H35:I35"/>
    <mergeCell ref="A36:I36"/>
    <mergeCell ref="A37:J37"/>
    <mergeCell ref="A38:G38"/>
    <mergeCell ref="H38:I38"/>
    <mergeCell ref="A39:I39"/>
    <mergeCell ref="A40:J40"/>
    <mergeCell ref="A41:G41"/>
    <mergeCell ref="H41:I41"/>
    <mergeCell ref="A42:I42"/>
    <mergeCell ref="A43:J43"/>
    <mergeCell ref="A44:I44"/>
    <mergeCell ref="A45:J45"/>
    <mergeCell ref="A46:J46"/>
    <mergeCell ref="A47:J47"/>
    <mergeCell ref="A48:J48"/>
    <mergeCell ref="B49:G49"/>
    <mergeCell ref="H49:J49"/>
    <mergeCell ref="B50:G50"/>
    <mergeCell ref="H50:J50"/>
    <mergeCell ref="B51:G51"/>
    <mergeCell ref="H51:J51"/>
    <mergeCell ref="B52:G52"/>
    <mergeCell ref="H52:J52"/>
    <mergeCell ref="B53:G53"/>
    <mergeCell ref="H53:J53"/>
    <mergeCell ref="A54:J54"/>
    <mergeCell ref="A55:J55"/>
    <mergeCell ref="B56:G56"/>
    <mergeCell ref="H56:I56"/>
    <mergeCell ref="B57:I57"/>
    <mergeCell ref="B58:H58"/>
    <mergeCell ref="A59:I59"/>
    <mergeCell ref="A60:J60"/>
    <mergeCell ref="A61:J61"/>
    <mergeCell ref="A62:J62"/>
    <mergeCell ref="B63:I63"/>
    <mergeCell ref="B64:H64"/>
    <mergeCell ref="B65:H65"/>
    <mergeCell ref="A66:I66"/>
    <mergeCell ref="B67:I67"/>
    <mergeCell ref="A68:I68"/>
    <mergeCell ref="A69:J69"/>
    <mergeCell ref="A70:J70"/>
    <mergeCell ref="B71:H71"/>
    <mergeCell ref="B72:H72"/>
    <mergeCell ref="B73:H73"/>
    <mergeCell ref="B74:D74"/>
    <mergeCell ref="B75:H75"/>
    <mergeCell ref="B76:H76"/>
    <mergeCell ref="B77:H77"/>
    <mergeCell ref="B78:H78"/>
    <mergeCell ref="B79:H79"/>
    <mergeCell ref="A80:H80"/>
    <mergeCell ref="A81:J81"/>
    <mergeCell ref="A82:J82"/>
    <mergeCell ref="B83:I83"/>
    <mergeCell ref="B84:I84"/>
    <mergeCell ref="B85:H85"/>
    <mergeCell ref="B86:H86"/>
    <mergeCell ref="B87:H87"/>
    <mergeCell ref="B88:I88"/>
    <mergeCell ref="B89:H89"/>
    <mergeCell ref="B90:H90"/>
    <mergeCell ref="B91:I91"/>
    <mergeCell ref="A92:I92"/>
    <mergeCell ref="A93:J93"/>
    <mergeCell ref="A94:J94"/>
    <mergeCell ref="B95:I95"/>
    <mergeCell ref="C96:I96"/>
    <mergeCell ref="C97:I97"/>
    <mergeCell ref="C98:I98"/>
    <mergeCell ref="A99:I99"/>
    <mergeCell ref="A100:J100"/>
    <mergeCell ref="A101:J101"/>
    <mergeCell ref="B102:I102"/>
    <mergeCell ref="B103:I103"/>
    <mergeCell ref="B104:I104"/>
    <mergeCell ref="B105:H105"/>
    <mergeCell ref="B106:I106"/>
    <mergeCell ref="B107:I107"/>
    <mergeCell ref="B108:H108"/>
    <mergeCell ref="A109:I109"/>
    <mergeCell ref="A110:J110"/>
    <mergeCell ref="A111:J111"/>
    <mergeCell ref="A112:I112"/>
    <mergeCell ref="A113:J113"/>
    <mergeCell ref="B114:I114"/>
    <mergeCell ref="B115:H115"/>
    <mergeCell ref="B116:I116"/>
    <mergeCell ref="B117:I117"/>
    <mergeCell ref="B118:I118"/>
    <mergeCell ref="B119:I119"/>
    <mergeCell ref="B120:I120"/>
    <mergeCell ref="A121:I121"/>
    <mergeCell ref="B122:I122"/>
    <mergeCell ref="A123:I123"/>
    <mergeCell ref="A124:J124"/>
    <mergeCell ref="B125:I125"/>
    <mergeCell ref="B126:I126"/>
    <mergeCell ref="A127:I127"/>
    <mergeCell ref="B128:I128"/>
    <mergeCell ref="A129:I129"/>
    <mergeCell ref="A130:J130"/>
    <mergeCell ref="A131:J131"/>
    <mergeCell ref="B132:I132"/>
    <mergeCell ref="B133:I133"/>
    <mergeCell ref="B134:I134"/>
    <mergeCell ref="A135:I135"/>
    <mergeCell ref="A136:J136"/>
    <mergeCell ref="A137:J137"/>
    <mergeCell ref="B138:I138"/>
    <mergeCell ref="B139:I139"/>
    <mergeCell ref="B140:I140"/>
    <mergeCell ref="B141:I141"/>
    <mergeCell ref="B142:I142"/>
    <mergeCell ref="A143:I143"/>
    <mergeCell ref="A144:J144"/>
    <mergeCell ref="A145:J145"/>
    <mergeCell ref="B146:H146"/>
    <mergeCell ref="A147:H147"/>
    <mergeCell ref="B148:H148"/>
    <mergeCell ref="A149:H149"/>
    <mergeCell ref="B150:H150"/>
    <mergeCell ref="A151:H151"/>
    <mergeCell ref="B152:H152"/>
    <mergeCell ref="B153:H153"/>
    <mergeCell ref="B154:H154"/>
    <mergeCell ref="B155:H155"/>
    <mergeCell ref="B156:H156"/>
    <mergeCell ref="B157:H157"/>
    <mergeCell ref="B158:H158"/>
    <mergeCell ref="B159:H159"/>
    <mergeCell ref="B160:H160"/>
    <mergeCell ref="A161:I161"/>
    <mergeCell ref="A162:J162"/>
    <mergeCell ref="A163:H163"/>
    <mergeCell ref="A164:C166"/>
    <mergeCell ref="D164:J164"/>
    <mergeCell ref="D165:J165"/>
    <mergeCell ref="D166:J166"/>
    <mergeCell ref="A167:J167"/>
    <mergeCell ref="A168:J168"/>
    <mergeCell ref="A169:I169"/>
    <mergeCell ref="B170:I170"/>
    <mergeCell ref="B171:I171"/>
    <mergeCell ref="B172:I172"/>
    <mergeCell ref="B173:I173"/>
    <mergeCell ref="B174:I174"/>
    <mergeCell ref="A175:I175"/>
    <mergeCell ref="B176:I176"/>
    <mergeCell ref="A177:I177"/>
    <mergeCell ref="A178:J178"/>
    <mergeCell ref="A179:J179"/>
    <mergeCell ref="A180:C180"/>
    <mergeCell ref="D180:F180"/>
    <mergeCell ref="G180:H180"/>
    <mergeCell ref="I180:J180"/>
    <mergeCell ref="A181:C181"/>
    <mergeCell ref="G181:H181"/>
    <mergeCell ref="I181:J181"/>
    <mergeCell ref="A182:C182"/>
    <mergeCell ref="E182:F182"/>
    <mergeCell ref="G182:H182"/>
    <mergeCell ref="I182:J182"/>
    <mergeCell ref="A183:H183"/>
    <mergeCell ref="I183:J183"/>
    <mergeCell ref="A184:J184"/>
    <mergeCell ref="A185:C185"/>
    <mergeCell ref="G185:H185"/>
    <mergeCell ref="I185:J185"/>
    <mergeCell ref="A186:C186"/>
    <mergeCell ref="E186:F186"/>
    <mergeCell ref="G186:H186"/>
    <mergeCell ref="I186:J186"/>
    <mergeCell ref="A187:H187"/>
    <mergeCell ref="I187:J187"/>
    <mergeCell ref="A188:J188"/>
    <mergeCell ref="A189:C189"/>
    <mergeCell ref="G189:H189"/>
    <mergeCell ref="I189:J189"/>
    <mergeCell ref="A190:C190"/>
    <mergeCell ref="E190:F190"/>
    <mergeCell ref="G190:H190"/>
    <mergeCell ref="I190:J190"/>
    <mergeCell ref="A191:H191"/>
    <mergeCell ref="I191:J191"/>
    <mergeCell ref="A192:J192"/>
    <mergeCell ref="A193:C193"/>
    <mergeCell ref="G193:H193"/>
    <mergeCell ref="I193:J193"/>
    <mergeCell ref="A194:C194"/>
    <mergeCell ref="E194:F194"/>
    <mergeCell ref="G194:H194"/>
    <mergeCell ref="I194:J194"/>
    <mergeCell ref="A195:H195"/>
    <mergeCell ref="I195:J195"/>
    <mergeCell ref="A196:J196"/>
    <mergeCell ref="A197:C197"/>
    <mergeCell ref="G197:H197"/>
    <mergeCell ref="I197:J197"/>
    <mergeCell ref="A198:C198"/>
    <mergeCell ref="E198:F198"/>
    <mergeCell ref="G198:H198"/>
    <mergeCell ref="I198:J198"/>
    <mergeCell ref="A199:H199"/>
    <mergeCell ref="I199:J199"/>
    <mergeCell ref="A200:J200"/>
    <mergeCell ref="A201:C201"/>
    <mergeCell ref="G201:H201"/>
    <mergeCell ref="I201:J201"/>
    <mergeCell ref="A202:C202"/>
    <mergeCell ref="E202:F202"/>
    <mergeCell ref="G202:H202"/>
    <mergeCell ref="I202:J202"/>
    <mergeCell ref="A203:H203"/>
    <mergeCell ref="I203:J203"/>
    <mergeCell ref="A204:J204"/>
    <mergeCell ref="A205:C205"/>
    <mergeCell ref="G205:H205"/>
    <mergeCell ref="I205:J205"/>
    <mergeCell ref="A206:C206"/>
    <mergeCell ref="E206:F206"/>
    <mergeCell ref="G206:H206"/>
    <mergeCell ref="I206:J206"/>
    <mergeCell ref="A207:H207"/>
    <mergeCell ref="I207:J207"/>
    <mergeCell ref="A208:J208"/>
    <mergeCell ref="B209:D209"/>
    <mergeCell ref="F209:G209"/>
    <mergeCell ref="A210:J210"/>
    <mergeCell ref="C212:D212"/>
    <mergeCell ref="C213:D213"/>
    <mergeCell ref="A214:I214"/>
    <mergeCell ref="A215:J215"/>
    <mergeCell ref="A216:J216"/>
    <mergeCell ref="A217:E217"/>
    <mergeCell ref="F217:G217"/>
    <mergeCell ref="I217:J217"/>
    <mergeCell ref="A218:E218"/>
    <mergeCell ref="F218:G218"/>
    <mergeCell ref="I218:J218"/>
    <mergeCell ref="A219:E219"/>
    <mergeCell ref="F219:G219"/>
    <mergeCell ref="I219:J219"/>
    <mergeCell ref="A220:E220"/>
    <mergeCell ref="F220:G220"/>
    <mergeCell ref="I220:J220"/>
    <mergeCell ref="A221:E221"/>
    <mergeCell ref="F221:G221"/>
    <mergeCell ref="I221:J221"/>
    <mergeCell ref="A222:E222"/>
    <mergeCell ref="F222:G222"/>
    <mergeCell ref="I222:J222"/>
    <mergeCell ref="A223:E223"/>
    <mergeCell ref="F223:G223"/>
    <mergeCell ref="I223:J223"/>
    <mergeCell ref="A224:E224"/>
    <mergeCell ref="F224:G224"/>
    <mergeCell ref="I224:J224"/>
    <mergeCell ref="A225:G225"/>
    <mergeCell ref="I225:J225"/>
    <mergeCell ref="A226:J226"/>
    <mergeCell ref="A227:E227"/>
    <mergeCell ref="F227:G227"/>
    <mergeCell ref="I227:J227"/>
    <mergeCell ref="A228:E228"/>
    <mergeCell ref="F228:G228"/>
    <mergeCell ref="I228:J228"/>
    <mergeCell ref="A229:G229"/>
    <mergeCell ref="I229:J229"/>
    <mergeCell ref="A230:J230"/>
    <mergeCell ref="A231:E231"/>
    <mergeCell ref="F231:G231"/>
    <mergeCell ref="I231:J231"/>
    <mergeCell ref="A232:E232"/>
    <mergeCell ref="F232:G232"/>
    <mergeCell ref="I232:J232"/>
    <mergeCell ref="A233:G233"/>
    <mergeCell ref="I233:J233"/>
    <mergeCell ref="A234:J234"/>
    <mergeCell ref="A235:G235"/>
    <mergeCell ref="I235:J235"/>
    <mergeCell ref="A236:G236"/>
    <mergeCell ref="I236:J236"/>
    <mergeCell ref="A237:J237"/>
    <mergeCell ref="A238:G238"/>
    <mergeCell ref="I238:J238"/>
    <mergeCell ref="A239:J239"/>
    <mergeCell ref="A240:H240"/>
    <mergeCell ref="I240:J240"/>
    <mergeCell ref="A248:F248"/>
    <mergeCell ref="G248:J248"/>
    <mergeCell ref="A241:J241"/>
    <mergeCell ref="A242:H242"/>
    <mergeCell ref="I242:J242"/>
    <mergeCell ref="A243:J243"/>
    <mergeCell ref="A244:H244"/>
    <mergeCell ref="I244:J244"/>
    <mergeCell ref="A245:J245"/>
    <mergeCell ref="A246:J246"/>
    <mergeCell ref="A247:F247"/>
    <mergeCell ref="G247:J247"/>
  </mergeCells>
  <pageMargins left="0.78749999999999998" right="0.78749999999999998" top="1.05277777777778" bottom="1.05277777777778" header="0.78749999999999998" footer="0.78749999999999998"/>
  <pageSetup paperSize="9" scale="75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view="pageBreakPreview" zoomScale="120" zoomScaleNormal="100" zoomScalePageLayoutView="120" workbookViewId="0"/>
  </sheetViews>
  <sheetFormatPr defaultRowHeight="12.75" x14ac:dyDescent="0.2"/>
  <cols>
    <col min="1" max="7" width="8.85546875" customWidth="1"/>
    <col min="8" max="8" width="15.42578125" customWidth="1"/>
    <col min="9" max="9" width="6.5703125" customWidth="1"/>
    <col min="10" max="10" width="6.85546875" customWidth="1"/>
    <col min="11" max="1025" width="8.85546875" customWidth="1"/>
  </cols>
  <sheetData>
    <row r="1" spans="1:10" ht="24" customHeigh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</row>
    <row r="2" spans="1:10" ht="86.25" customHeight="1" x14ac:dyDescent="0.2">
      <c r="A2" s="214" t="s">
        <v>230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 ht="12.75" customHeight="1" x14ac:dyDescent="0.2">
      <c r="A3" s="142" t="s">
        <v>2</v>
      </c>
      <c r="B3" s="142"/>
      <c r="C3" s="142"/>
      <c r="D3" s="142"/>
      <c r="E3" s="142"/>
      <c r="F3" s="142"/>
      <c r="G3" s="142"/>
      <c r="H3" s="211" t="s">
        <v>231</v>
      </c>
      <c r="I3" s="211"/>
      <c r="J3" s="211"/>
    </row>
    <row r="4" spans="1:10" ht="12.75" customHeight="1" x14ac:dyDescent="0.2">
      <c r="A4" s="142" t="s">
        <v>4</v>
      </c>
      <c r="B4" s="142"/>
      <c r="C4" s="142"/>
      <c r="D4" s="142"/>
      <c r="E4" s="142"/>
      <c r="F4" s="142"/>
      <c r="G4" s="142"/>
      <c r="H4" s="211" t="s">
        <v>231</v>
      </c>
      <c r="I4" s="211"/>
      <c r="J4" s="211"/>
    </row>
    <row r="5" spans="1:10" ht="12.75" customHeight="1" x14ac:dyDescent="0.2">
      <c r="A5" s="142" t="s">
        <v>232</v>
      </c>
      <c r="B5" s="142"/>
      <c r="C5" s="142"/>
      <c r="D5" s="142"/>
      <c r="E5" s="142"/>
      <c r="F5" s="142"/>
      <c r="G5" s="142"/>
      <c r="H5" s="211" t="s">
        <v>231</v>
      </c>
      <c r="I5" s="211"/>
      <c r="J5" s="211"/>
    </row>
    <row r="6" spans="1:10" ht="15" customHeight="1" x14ac:dyDescent="0.2">
      <c r="A6" s="215" t="s">
        <v>6</v>
      </c>
      <c r="B6" s="215"/>
      <c r="C6" s="215"/>
      <c r="D6" s="215"/>
      <c r="E6" s="215"/>
      <c r="F6" s="215"/>
      <c r="G6" s="215"/>
      <c r="H6" s="215"/>
      <c r="I6" s="215"/>
      <c r="J6" s="215"/>
    </row>
    <row r="7" spans="1:10" ht="12.75" customHeight="1" x14ac:dyDescent="0.2">
      <c r="A7" s="2" t="s">
        <v>7</v>
      </c>
      <c r="B7" s="142" t="s">
        <v>8</v>
      </c>
      <c r="C7" s="142"/>
      <c r="D7" s="142"/>
      <c r="E7" s="142"/>
      <c r="F7" s="142"/>
      <c r="G7" s="142"/>
      <c r="H7" s="209"/>
      <c r="I7" s="209"/>
      <c r="J7" s="209"/>
    </row>
    <row r="8" spans="1:10" ht="12.75" customHeight="1" x14ac:dyDescent="0.2">
      <c r="A8" s="2" t="s">
        <v>9</v>
      </c>
      <c r="B8" s="142" t="s">
        <v>10</v>
      </c>
      <c r="C8" s="142"/>
      <c r="D8" s="142"/>
      <c r="E8" s="142"/>
      <c r="F8" s="142"/>
      <c r="G8" s="142"/>
      <c r="H8" s="209" t="s">
        <v>11</v>
      </c>
      <c r="I8" s="209"/>
      <c r="J8" s="209"/>
    </row>
    <row r="9" spans="1:10" ht="34.700000000000003" customHeight="1" x14ac:dyDescent="0.2">
      <c r="A9" s="2" t="s">
        <v>12</v>
      </c>
      <c r="B9" s="142" t="s">
        <v>13</v>
      </c>
      <c r="C9" s="142"/>
      <c r="D9" s="142"/>
      <c r="E9" s="142"/>
      <c r="F9" s="142"/>
      <c r="G9" s="142"/>
      <c r="H9" s="209" t="s">
        <v>233</v>
      </c>
      <c r="I9" s="209"/>
      <c r="J9" s="209"/>
    </row>
    <row r="10" spans="1:10" ht="12.75" customHeight="1" x14ac:dyDescent="0.2">
      <c r="A10" s="2" t="s">
        <v>15</v>
      </c>
      <c r="B10" s="142" t="s">
        <v>16</v>
      </c>
      <c r="C10" s="142"/>
      <c r="D10" s="142"/>
      <c r="E10" s="142"/>
      <c r="F10" s="142"/>
      <c r="G10" s="142"/>
      <c r="H10" s="211">
        <v>30</v>
      </c>
      <c r="I10" s="211"/>
      <c r="J10" s="211"/>
    </row>
    <row r="11" spans="1:10" ht="12.75" customHeight="1" x14ac:dyDescent="0.2">
      <c r="A11" s="216"/>
      <c r="B11" s="216"/>
      <c r="C11" s="216"/>
      <c r="D11" s="216"/>
      <c r="E11" s="216"/>
      <c r="F11" s="216"/>
      <c r="G11" s="216"/>
      <c r="H11" s="216"/>
      <c r="I11" s="216"/>
      <c r="J11" s="216"/>
    </row>
    <row r="12" spans="1:10" ht="30" customHeight="1" x14ac:dyDescent="0.2">
      <c r="A12" s="224" t="s">
        <v>234</v>
      </c>
      <c r="B12" s="224"/>
      <c r="C12" s="224"/>
      <c r="D12" s="224"/>
      <c r="E12" s="224"/>
      <c r="F12" s="224"/>
      <c r="G12" s="224"/>
      <c r="H12" s="224"/>
      <c r="I12" s="224"/>
      <c r="J12" s="224"/>
    </row>
    <row r="13" spans="1:10" ht="12.75" customHeight="1" x14ac:dyDescent="0.2">
      <c r="A13" s="225" t="s">
        <v>223</v>
      </c>
      <c r="B13" s="225"/>
      <c r="C13" s="225"/>
      <c r="D13" s="225"/>
      <c r="E13" s="225"/>
      <c r="F13" s="225"/>
      <c r="G13" s="225"/>
      <c r="H13" s="225"/>
      <c r="I13" s="226">
        <f>'Real BCCPA-IN 5-CV - 40%'!I240:J240</f>
        <v>17095.240000000002</v>
      </c>
      <c r="J13" s="226"/>
    </row>
    <row r="14" spans="1:10" ht="12.75" customHeight="1" x14ac:dyDescent="0.2">
      <c r="A14" s="223"/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10" ht="12.75" customHeight="1" x14ac:dyDescent="0.2">
      <c r="A15" s="221" t="s">
        <v>224</v>
      </c>
      <c r="B15" s="221"/>
      <c r="C15" s="221"/>
      <c r="D15" s="221"/>
      <c r="E15" s="221"/>
      <c r="F15" s="221"/>
      <c r="G15" s="221"/>
      <c r="H15" s="221"/>
      <c r="I15" s="222">
        <f>'Real BCCPA-IN 5-CV - 40%'!I242:J242</f>
        <v>30</v>
      </c>
      <c r="J15" s="222"/>
    </row>
    <row r="16" spans="1:10" ht="12.75" customHeight="1" x14ac:dyDescent="0.2">
      <c r="A16" s="223"/>
      <c r="B16" s="223"/>
      <c r="C16" s="223"/>
      <c r="D16" s="223"/>
      <c r="E16" s="223"/>
      <c r="F16" s="223"/>
      <c r="G16" s="223"/>
      <c r="H16" s="223"/>
      <c r="I16" s="223"/>
      <c r="J16" s="223"/>
    </row>
    <row r="17" spans="1:10" ht="13.5" customHeight="1" x14ac:dyDescent="0.2">
      <c r="A17" s="219" t="s">
        <v>235</v>
      </c>
      <c r="B17" s="219"/>
      <c r="C17" s="219"/>
      <c r="D17" s="219"/>
      <c r="E17" s="219"/>
      <c r="F17" s="219"/>
      <c r="G17" s="219"/>
      <c r="H17" s="219"/>
      <c r="I17" s="220">
        <f>'Real BCCPA-IN 5-CV - 40%'!I244:J244</f>
        <v>512857.2</v>
      </c>
      <c r="J17" s="220"/>
    </row>
    <row r="18" spans="1:10" ht="13.5" customHeight="1" x14ac:dyDescent="0.2">
      <c r="A18" s="216"/>
      <c r="B18" s="216"/>
      <c r="C18" s="216"/>
      <c r="D18" s="216"/>
      <c r="E18" s="216"/>
      <c r="F18" s="216"/>
      <c r="G18" s="216"/>
      <c r="H18" s="216"/>
      <c r="I18" s="216"/>
      <c r="J18" s="216"/>
    </row>
    <row r="19" spans="1:10" ht="16.5" customHeight="1" x14ac:dyDescent="0.2">
      <c r="A19" s="217" t="s">
        <v>236</v>
      </c>
      <c r="B19" s="217"/>
      <c r="C19" s="217"/>
      <c r="D19" s="217"/>
      <c r="E19" s="217"/>
      <c r="F19" s="217"/>
      <c r="G19" s="217"/>
      <c r="H19" s="217"/>
      <c r="I19" s="218">
        <f>I13</f>
        <v>17095.240000000002</v>
      </c>
      <c r="J19" s="218"/>
    </row>
    <row r="20" spans="1:10" ht="13.5" customHeight="1" x14ac:dyDescent="0.2">
      <c r="A20" s="219" t="s">
        <v>237</v>
      </c>
      <c r="B20" s="219"/>
      <c r="C20" s="219"/>
      <c r="D20" s="219"/>
      <c r="E20" s="219"/>
      <c r="F20" s="219"/>
      <c r="G20" s="219"/>
      <c r="H20" s="219"/>
      <c r="I20" s="220">
        <f>I17</f>
        <v>512857.2</v>
      </c>
      <c r="J20" s="220"/>
    </row>
  </sheetData>
  <mergeCells count="32">
    <mergeCell ref="A1:J1"/>
    <mergeCell ref="A2:J2"/>
    <mergeCell ref="A3:G3"/>
    <mergeCell ref="H3:J3"/>
    <mergeCell ref="A4:G4"/>
    <mergeCell ref="H4:J4"/>
    <mergeCell ref="A5:G5"/>
    <mergeCell ref="H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H13"/>
    <mergeCell ref="I13:J13"/>
    <mergeCell ref="A14:J14"/>
    <mergeCell ref="A15:H15"/>
    <mergeCell ref="I15:J15"/>
    <mergeCell ref="A16:J16"/>
    <mergeCell ref="A17:H17"/>
    <mergeCell ref="I17:J17"/>
    <mergeCell ref="A18:J18"/>
    <mergeCell ref="A19:H19"/>
    <mergeCell ref="I19:J19"/>
    <mergeCell ref="A20:H20"/>
    <mergeCell ref="I20:J20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0"/>
  <sheetViews>
    <sheetView view="pageBreakPreview" topLeftCell="A13" zoomScale="120" zoomScaleNormal="100" zoomScalePageLayoutView="120" workbookViewId="0">
      <selection activeCell="K87" sqref="K87"/>
    </sheetView>
  </sheetViews>
  <sheetFormatPr defaultRowHeight="12.75" x14ac:dyDescent="0.2"/>
  <cols>
    <col min="1" max="1" width="49.42578125" style="52" customWidth="1"/>
    <col min="2" max="2" width="10" style="81" customWidth="1"/>
    <col min="3" max="3" width="13.42578125" style="81" customWidth="1"/>
    <col min="4" max="4" width="14.7109375" style="81" customWidth="1"/>
    <col min="5" max="6" width="10.7109375" style="97" customWidth="1"/>
    <col min="7" max="7" width="10.5703125" style="52" customWidth="1"/>
    <col min="8" max="1025" width="8.85546875" style="52" customWidth="1"/>
  </cols>
  <sheetData>
    <row r="1" spans="1:8" ht="23.25" customHeight="1" x14ac:dyDescent="0.2">
      <c r="A1" s="213" t="s">
        <v>0</v>
      </c>
      <c r="B1" s="213"/>
      <c r="C1" s="213"/>
      <c r="D1" s="213"/>
      <c r="E1" s="213"/>
      <c r="F1" s="213"/>
      <c r="G1" s="213"/>
      <c r="H1" s="213"/>
    </row>
    <row r="2" spans="1:8" ht="42" customHeight="1" x14ac:dyDescent="0.2">
      <c r="A2" s="214" t="s">
        <v>230</v>
      </c>
      <c r="B2" s="214"/>
      <c r="C2" s="214"/>
      <c r="D2" s="214"/>
      <c r="E2" s="214"/>
      <c r="F2" s="214"/>
      <c r="G2" s="214"/>
      <c r="H2" s="214"/>
    </row>
    <row r="3" spans="1:8" ht="12.75" customHeight="1" x14ac:dyDescent="0.2">
      <c r="A3" s="142" t="s">
        <v>2</v>
      </c>
      <c r="B3" s="142"/>
      <c r="C3" s="142"/>
      <c r="D3" s="142"/>
      <c r="E3" s="142"/>
      <c r="F3" s="241" t="s">
        <v>238</v>
      </c>
      <c r="G3" s="241"/>
      <c r="H3" s="241"/>
    </row>
    <row r="4" spans="1:8" ht="12.75" customHeight="1" x14ac:dyDescent="0.2">
      <c r="A4" s="142" t="s">
        <v>4</v>
      </c>
      <c r="B4" s="142"/>
      <c r="C4" s="142"/>
      <c r="D4" s="142"/>
      <c r="E4" s="142"/>
      <c r="F4" s="241" t="s">
        <v>238</v>
      </c>
      <c r="G4" s="241"/>
      <c r="H4" s="241"/>
    </row>
    <row r="5" spans="1:8" ht="12.75" customHeight="1" x14ac:dyDescent="0.2">
      <c r="A5" s="142" t="s">
        <v>5</v>
      </c>
      <c r="B5" s="142"/>
      <c r="C5" s="142"/>
      <c r="D5" s="142"/>
      <c r="E5" s="142"/>
      <c r="F5" s="241" t="s">
        <v>238</v>
      </c>
      <c r="G5" s="241"/>
      <c r="H5" s="241"/>
    </row>
    <row r="6" spans="1:8" ht="19.350000000000001" customHeight="1" x14ac:dyDescent="0.2">
      <c r="A6" s="242" t="s">
        <v>239</v>
      </c>
      <c r="B6" s="242"/>
      <c r="C6" s="242"/>
      <c r="D6" s="242"/>
      <c r="E6" s="242"/>
      <c r="F6" s="242"/>
      <c r="G6" s="242"/>
      <c r="H6" s="242"/>
    </row>
    <row r="7" spans="1:8" ht="38.25" x14ac:dyDescent="0.2">
      <c r="A7" s="98" t="s">
        <v>240</v>
      </c>
      <c r="B7" s="98" t="s">
        <v>241</v>
      </c>
      <c r="C7" s="98" t="s">
        <v>242</v>
      </c>
      <c r="D7" s="98" t="s">
        <v>243</v>
      </c>
      <c r="E7" s="99" t="s">
        <v>244</v>
      </c>
      <c r="F7" s="99" t="s">
        <v>245</v>
      </c>
    </row>
    <row r="8" spans="1:8" x14ac:dyDescent="0.2">
      <c r="A8" s="100" t="s">
        <v>246</v>
      </c>
      <c r="B8" s="5" t="s">
        <v>247</v>
      </c>
      <c r="C8" s="5">
        <v>6</v>
      </c>
      <c r="D8" s="5">
        <f t="shared" ref="D8:D16" si="0">C8*30</f>
        <v>180</v>
      </c>
      <c r="E8" s="101">
        <v>7.87</v>
      </c>
      <c r="F8" s="102">
        <f t="shared" ref="F8:F20" si="1">D8*E8</f>
        <v>1416.6</v>
      </c>
    </row>
    <row r="9" spans="1:8" x14ac:dyDescent="0.2">
      <c r="A9" s="103" t="s">
        <v>248</v>
      </c>
      <c r="B9" s="7" t="s">
        <v>249</v>
      </c>
      <c r="C9" s="11">
        <v>15</v>
      </c>
      <c r="D9" s="5">
        <f t="shared" si="0"/>
        <v>450</v>
      </c>
      <c r="E9" s="104">
        <v>8.4</v>
      </c>
      <c r="F9" s="102">
        <f t="shared" si="1"/>
        <v>3780</v>
      </c>
    </row>
    <row r="10" spans="1:8" x14ac:dyDescent="0.2">
      <c r="A10" s="103" t="s">
        <v>250</v>
      </c>
      <c r="B10" s="7" t="s">
        <v>249</v>
      </c>
      <c r="C10" s="11">
        <v>10</v>
      </c>
      <c r="D10" s="5">
        <f t="shared" si="0"/>
        <v>300</v>
      </c>
      <c r="E10" s="104">
        <v>13.48</v>
      </c>
      <c r="F10" s="102">
        <f t="shared" si="1"/>
        <v>4044</v>
      </c>
    </row>
    <row r="11" spans="1:8" x14ac:dyDescent="0.2">
      <c r="A11" s="105" t="s">
        <v>251</v>
      </c>
      <c r="B11" s="7" t="s">
        <v>249</v>
      </c>
      <c r="C11" s="11">
        <v>10</v>
      </c>
      <c r="D11" s="5">
        <f t="shared" si="0"/>
        <v>300</v>
      </c>
      <c r="E11" s="104">
        <v>3.57</v>
      </c>
      <c r="F11" s="102">
        <f t="shared" si="1"/>
        <v>1071</v>
      </c>
    </row>
    <row r="12" spans="1:8" x14ac:dyDescent="0.2">
      <c r="A12" s="105" t="s">
        <v>252</v>
      </c>
      <c r="B12" s="7" t="s">
        <v>249</v>
      </c>
      <c r="C12" s="11">
        <v>20</v>
      </c>
      <c r="D12" s="5">
        <f t="shared" si="0"/>
        <v>600</v>
      </c>
      <c r="E12" s="104">
        <v>5.15</v>
      </c>
      <c r="F12" s="102">
        <f t="shared" si="1"/>
        <v>3090</v>
      </c>
    </row>
    <row r="13" spans="1:8" x14ac:dyDescent="0.2">
      <c r="A13" s="105" t="s">
        <v>253</v>
      </c>
      <c r="B13" s="7" t="s">
        <v>254</v>
      </c>
      <c r="C13" s="11">
        <v>15</v>
      </c>
      <c r="D13" s="5">
        <f t="shared" si="0"/>
        <v>450</v>
      </c>
      <c r="E13" s="104">
        <v>8.51</v>
      </c>
      <c r="F13" s="102">
        <f t="shared" si="1"/>
        <v>3829.5</v>
      </c>
    </row>
    <row r="14" spans="1:8" x14ac:dyDescent="0.2">
      <c r="A14" s="105" t="s">
        <v>255</v>
      </c>
      <c r="B14" s="7" t="s">
        <v>254</v>
      </c>
      <c r="C14" s="11">
        <v>4</v>
      </c>
      <c r="D14" s="5">
        <f t="shared" si="0"/>
        <v>120</v>
      </c>
      <c r="E14" s="104">
        <v>4.0599999999999996</v>
      </c>
      <c r="F14" s="102">
        <f t="shared" si="1"/>
        <v>487.19999999999993</v>
      </c>
    </row>
    <row r="15" spans="1:8" x14ac:dyDescent="0.2">
      <c r="A15" s="105" t="s">
        <v>256</v>
      </c>
      <c r="B15" s="7" t="s">
        <v>249</v>
      </c>
      <c r="C15" s="11">
        <v>30</v>
      </c>
      <c r="D15" s="5">
        <f t="shared" si="0"/>
        <v>900</v>
      </c>
      <c r="E15" s="104">
        <v>3.98</v>
      </c>
      <c r="F15" s="102">
        <f t="shared" si="1"/>
        <v>3582</v>
      </c>
    </row>
    <row r="16" spans="1:8" s="106" customFormat="1" x14ac:dyDescent="0.2">
      <c r="A16" s="105" t="s">
        <v>257</v>
      </c>
      <c r="B16" s="7" t="s">
        <v>254</v>
      </c>
      <c r="C16" s="11">
        <v>1</v>
      </c>
      <c r="D16" s="5">
        <f t="shared" si="0"/>
        <v>30</v>
      </c>
      <c r="E16" s="104">
        <v>8.44</v>
      </c>
      <c r="F16" s="102">
        <f t="shared" si="1"/>
        <v>253.2</v>
      </c>
      <c r="G16" s="52"/>
      <c r="H16" s="52"/>
    </row>
    <row r="17" spans="1:8" s="106" customFormat="1" hidden="1" x14ac:dyDescent="0.2">
      <c r="A17" s="105"/>
      <c r="B17" s="7"/>
      <c r="C17" s="11"/>
      <c r="D17" s="5">
        <f>C17*12</f>
        <v>0</v>
      </c>
      <c r="E17" s="104"/>
      <c r="F17" s="102">
        <f t="shared" si="1"/>
        <v>0</v>
      </c>
      <c r="G17" s="52"/>
      <c r="H17" s="52"/>
    </row>
    <row r="18" spans="1:8" x14ac:dyDescent="0.2">
      <c r="A18" s="105" t="s">
        <v>258</v>
      </c>
      <c r="B18" s="7" t="s">
        <v>259</v>
      </c>
      <c r="C18" s="11">
        <v>1</v>
      </c>
      <c r="D18" s="5">
        <f>C18*30</f>
        <v>30</v>
      </c>
      <c r="E18" s="104">
        <v>4.79</v>
      </c>
      <c r="F18" s="102">
        <f t="shared" si="1"/>
        <v>143.69999999999999</v>
      </c>
    </row>
    <row r="19" spans="1:8" x14ac:dyDescent="0.2">
      <c r="A19" s="100" t="s">
        <v>260</v>
      </c>
      <c r="B19" s="7" t="s">
        <v>254</v>
      </c>
      <c r="C19" s="11">
        <v>20</v>
      </c>
      <c r="D19" s="5">
        <f>C19*30</f>
        <v>600</v>
      </c>
      <c r="E19" s="104">
        <v>3.83</v>
      </c>
      <c r="F19" s="102">
        <f t="shared" si="1"/>
        <v>2298</v>
      </c>
    </row>
    <row r="20" spans="1:8" x14ac:dyDescent="0.2">
      <c r="A20" s="105" t="s">
        <v>261</v>
      </c>
      <c r="B20" s="7" t="s">
        <v>254</v>
      </c>
      <c r="C20" s="11">
        <v>20</v>
      </c>
      <c r="D20" s="5">
        <f>C20*30</f>
        <v>600</v>
      </c>
      <c r="E20" s="104">
        <v>1.36</v>
      </c>
      <c r="F20" s="102">
        <f t="shared" si="1"/>
        <v>816.00000000000011</v>
      </c>
    </row>
    <row r="21" spans="1:8" ht="14.65" customHeight="1" x14ac:dyDescent="0.2">
      <c r="A21" s="240" t="s">
        <v>262</v>
      </c>
      <c r="B21" s="240"/>
      <c r="C21" s="240"/>
      <c r="D21" s="240"/>
      <c r="E21" s="240"/>
      <c r="F21" s="107">
        <f>SUM(F8:F20)</f>
        <v>24811.200000000001</v>
      </c>
    </row>
    <row r="22" spans="1:8" ht="14.65" customHeight="1" x14ac:dyDescent="0.2">
      <c r="A22" s="240" t="s">
        <v>263</v>
      </c>
      <c r="B22" s="240"/>
      <c r="C22" s="240"/>
      <c r="D22" s="240"/>
      <c r="E22" s="240"/>
      <c r="F22" s="107">
        <f>F21/30</f>
        <v>827.04000000000008</v>
      </c>
    </row>
    <row r="23" spans="1:8" s="111" customFormat="1" x14ac:dyDescent="0.2">
      <c r="A23" s="108"/>
      <c r="B23" s="109"/>
      <c r="C23" s="109"/>
      <c r="D23" s="109"/>
      <c r="E23" s="110"/>
    </row>
    <row r="24" spans="1:8" s="111" customFormat="1" ht="38.25" x14ac:dyDescent="0.2">
      <c r="A24" s="98" t="s">
        <v>264</v>
      </c>
      <c r="B24" s="98" t="s">
        <v>241</v>
      </c>
      <c r="C24" s="98" t="s">
        <v>242</v>
      </c>
      <c r="D24" s="98" t="s">
        <v>243</v>
      </c>
      <c r="E24" s="99" t="s">
        <v>244</v>
      </c>
      <c r="F24" s="99" t="s">
        <v>245</v>
      </c>
    </row>
    <row r="25" spans="1:8" s="111" customFormat="1" ht="25.5" x14ac:dyDescent="0.2">
      <c r="A25" s="103" t="s">
        <v>265</v>
      </c>
      <c r="B25" s="7" t="s">
        <v>254</v>
      </c>
      <c r="C25" s="11">
        <v>48</v>
      </c>
      <c r="D25" s="11">
        <f>C25*30</f>
        <v>1440</v>
      </c>
      <c r="E25" s="112">
        <v>5.1100000000000003</v>
      </c>
      <c r="F25" s="112">
        <f>D25*E25</f>
        <v>7358.4000000000005</v>
      </c>
    </row>
    <row r="26" spans="1:8" s="111" customFormat="1" ht="25.5" x14ac:dyDescent="0.2">
      <c r="A26" s="103" t="s">
        <v>266</v>
      </c>
      <c r="B26" s="7" t="s">
        <v>267</v>
      </c>
      <c r="C26" s="11">
        <v>50</v>
      </c>
      <c r="D26" s="11">
        <f>C26*30</f>
        <v>1500</v>
      </c>
      <c r="E26" s="112">
        <v>8</v>
      </c>
      <c r="F26" s="112">
        <f>D26*E26</f>
        <v>12000</v>
      </c>
    </row>
    <row r="27" spans="1:8" s="111" customFormat="1" x14ac:dyDescent="0.2">
      <c r="A27" s="100" t="s">
        <v>268</v>
      </c>
      <c r="B27" s="5" t="s">
        <v>247</v>
      </c>
      <c r="C27" s="5">
        <v>5</v>
      </c>
      <c r="D27" s="11">
        <f>C27*30</f>
        <v>150</v>
      </c>
      <c r="E27" s="102">
        <v>25.59</v>
      </c>
      <c r="F27" s="112">
        <f>D27*E27</f>
        <v>3838.5</v>
      </c>
    </row>
    <row r="28" spans="1:8" s="111" customFormat="1" ht="14.65" customHeight="1" x14ac:dyDescent="0.2">
      <c r="A28" s="240" t="s">
        <v>269</v>
      </c>
      <c r="B28" s="240"/>
      <c r="C28" s="240"/>
      <c r="D28" s="240"/>
      <c r="E28" s="240"/>
      <c r="F28" s="113">
        <f>SUM(F25:F27)</f>
        <v>23196.9</v>
      </c>
    </row>
    <row r="29" spans="1:8" s="111" customFormat="1" ht="14.65" customHeight="1" x14ac:dyDescent="0.2">
      <c r="A29" s="240" t="s">
        <v>270</v>
      </c>
      <c r="B29" s="240"/>
      <c r="C29" s="240"/>
      <c r="D29" s="240"/>
      <c r="E29" s="240">
        <f>F28*12</f>
        <v>278362.80000000005</v>
      </c>
      <c r="F29" s="114">
        <f>F28/30</f>
        <v>773.23</v>
      </c>
    </row>
    <row r="31" spans="1:8" ht="32.450000000000003" customHeight="1" x14ac:dyDescent="0.2">
      <c r="A31" s="115" t="s">
        <v>271</v>
      </c>
      <c r="B31" s="98" t="s">
        <v>241</v>
      </c>
      <c r="C31" s="98" t="s">
        <v>272</v>
      </c>
      <c r="D31" s="98" t="s">
        <v>273</v>
      </c>
      <c r="E31" s="98" t="s">
        <v>243</v>
      </c>
      <c r="F31" s="99" t="s">
        <v>244</v>
      </c>
      <c r="G31" s="99" t="s">
        <v>245</v>
      </c>
    </row>
    <row r="32" spans="1:8" x14ac:dyDescent="0.2">
      <c r="A32" s="116" t="s">
        <v>274</v>
      </c>
      <c r="B32" s="7" t="s">
        <v>254</v>
      </c>
      <c r="C32" s="7">
        <v>6</v>
      </c>
      <c r="D32" s="11">
        <v>12</v>
      </c>
      <c r="E32" s="117">
        <f t="shared" ref="E32:E52" si="2">30/D32*C32</f>
        <v>15</v>
      </c>
      <c r="F32" s="112">
        <v>13.43</v>
      </c>
      <c r="G32" s="118">
        <f t="shared" ref="G32:G52" si="3">E32*F32</f>
        <v>201.45</v>
      </c>
    </row>
    <row r="33" spans="1:7" x14ac:dyDescent="0.2">
      <c r="A33" s="116" t="s">
        <v>275</v>
      </c>
      <c r="B33" s="7" t="s">
        <v>254</v>
      </c>
      <c r="C33" s="7">
        <v>2</v>
      </c>
      <c r="D33" s="11">
        <v>12</v>
      </c>
      <c r="E33" s="117">
        <f t="shared" si="2"/>
        <v>5</v>
      </c>
      <c r="F33" s="112">
        <v>36.68</v>
      </c>
      <c r="G33" s="118">
        <f t="shared" si="3"/>
        <v>183.4</v>
      </c>
    </row>
    <row r="34" spans="1:7" x14ac:dyDescent="0.2">
      <c r="A34" s="116" t="s">
        <v>276</v>
      </c>
      <c r="B34" s="7" t="s">
        <v>254</v>
      </c>
      <c r="C34" s="7">
        <v>2</v>
      </c>
      <c r="D34" s="11">
        <v>24</v>
      </c>
      <c r="E34" s="117">
        <f t="shared" si="2"/>
        <v>2.5</v>
      </c>
      <c r="F34" s="112">
        <v>6</v>
      </c>
      <c r="G34" s="118">
        <f t="shared" si="3"/>
        <v>15</v>
      </c>
    </row>
    <row r="35" spans="1:7" x14ac:dyDescent="0.2">
      <c r="A35" s="116" t="s">
        <v>277</v>
      </c>
      <c r="B35" s="7" t="s">
        <v>254</v>
      </c>
      <c r="C35" s="7">
        <v>2</v>
      </c>
      <c r="D35" s="11">
        <v>12</v>
      </c>
      <c r="E35" s="117">
        <f t="shared" si="2"/>
        <v>5</v>
      </c>
      <c r="F35" s="112">
        <v>7.11</v>
      </c>
      <c r="G35" s="118">
        <f t="shared" si="3"/>
        <v>35.550000000000004</v>
      </c>
    </row>
    <row r="36" spans="1:7" x14ac:dyDescent="0.2">
      <c r="A36" s="103" t="s">
        <v>278</v>
      </c>
      <c r="B36" s="7" t="s">
        <v>254</v>
      </c>
      <c r="C36" s="7">
        <v>6</v>
      </c>
      <c r="D36" s="11">
        <v>12</v>
      </c>
      <c r="E36" s="117">
        <f t="shared" si="2"/>
        <v>15</v>
      </c>
      <c r="F36" s="112">
        <v>3.08</v>
      </c>
      <c r="G36" s="118">
        <f t="shared" si="3"/>
        <v>46.2</v>
      </c>
    </row>
    <row r="37" spans="1:7" x14ac:dyDescent="0.2">
      <c r="A37" s="116" t="s">
        <v>279</v>
      </c>
      <c r="B37" s="7" t="s">
        <v>254</v>
      </c>
      <c r="C37" s="7">
        <v>6</v>
      </c>
      <c r="D37" s="11">
        <v>12</v>
      </c>
      <c r="E37" s="117">
        <f t="shared" si="2"/>
        <v>15</v>
      </c>
      <c r="F37" s="112">
        <v>4.97</v>
      </c>
      <c r="G37" s="118">
        <f t="shared" si="3"/>
        <v>74.55</v>
      </c>
    </row>
    <row r="38" spans="1:7" x14ac:dyDescent="0.2">
      <c r="A38" s="105" t="s">
        <v>280</v>
      </c>
      <c r="B38" s="5" t="s">
        <v>254</v>
      </c>
      <c r="C38" s="5">
        <v>10</v>
      </c>
      <c r="D38" s="119">
        <v>1</v>
      </c>
      <c r="E38" s="117">
        <f t="shared" si="2"/>
        <v>300</v>
      </c>
      <c r="F38" s="112">
        <v>1.03</v>
      </c>
      <c r="G38" s="118">
        <f t="shared" si="3"/>
        <v>309</v>
      </c>
    </row>
    <row r="39" spans="1:7" x14ac:dyDescent="0.2">
      <c r="A39" s="116" t="s">
        <v>281</v>
      </c>
      <c r="B39" s="7" t="s">
        <v>254</v>
      </c>
      <c r="C39" s="7">
        <v>2</v>
      </c>
      <c r="D39" s="11">
        <v>12</v>
      </c>
      <c r="E39" s="117">
        <f t="shared" si="2"/>
        <v>5</v>
      </c>
      <c r="F39" s="112">
        <v>229.89</v>
      </c>
      <c r="G39" s="118">
        <f t="shared" si="3"/>
        <v>1149.4499999999998</v>
      </c>
    </row>
    <row r="40" spans="1:7" x14ac:dyDescent="0.2">
      <c r="A40" s="100" t="s">
        <v>282</v>
      </c>
      <c r="B40" s="5" t="s">
        <v>254</v>
      </c>
      <c r="C40" s="5">
        <v>1</v>
      </c>
      <c r="D40" s="119">
        <v>60</v>
      </c>
      <c r="E40" s="117">
        <f t="shared" si="2"/>
        <v>0.5</v>
      </c>
      <c r="F40" s="112">
        <v>119.17</v>
      </c>
      <c r="G40" s="118">
        <f t="shared" si="3"/>
        <v>59.585000000000001</v>
      </c>
    </row>
    <row r="41" spans="1:7" x14ac:dyDescent="0.2">
      <c r="A41" s="100" t="s">
        <v>283</v>
      </c>
      <c r="B41" s="5" t="s">
        <v>267</v>
      </c>
      <c r="C41" s="5">
        <v>2</v>
      </c>
      <c r="D41" s="119">
        <v>12</v>
      </c>
      <c r="E41" s="117">
        <f t="shared" si="2"/>
        <v>5</v>
      </c>
      <c r="F41" s="112">
        <v>2.16</v>
      </c>
      <c r="G41" s="118">
        <f t="shared" si="3"/>
        <v>10.8</v>
      </c>
    </row>
    <row r="42" spans="1:7" x14ac:dyDescent="0.2">
      <c r="A42" s="105" t="s">
        <v>284</v>
      </c>
      <c r="B42" s="5" t="s">
        <v>254</v>
      </c>
      <c r="C42" s="5">
        <v>4</v>
      </c>
      <c r="D42" s="119">
        <v>12</v>
      </c>
      <c r="E42" s="117">
        <f t="shared" si="2"/>
        <v>10</v>
      </c>
      <c r="F42" s="112">
        <v>4.79</v>
      </c>
      <c r="G42" s="118">
        <f t="shared" si="3"/>
        <v>47.9</v>
      </c>
    </row>
    <row r="43" spans="1:7" x14ac:dyDescent="0.2">
      <c r="A43" s="105" t="s">
        <v>285</v>
      </c>
      <c r="B43" s="5" t="s">
        <v>254</v>
      </c>
      <c r="C43" s="5">
        <v>15</v>
      </c>
      <c r="D43" s="119">
        <v>1</v>
      </c>
      <c r="E43" s="117">
        <f t="shared" si="2"/>
        <v>450</v>
      </c>
      <c r="F43" s="112">
        <v>2.82</v>
      </c>
      <c r="G43" s="118">
        <f t="shared" si="3"/>
        <v>1269</v>
      </c>
    </row>
    <row r="44" spans="1:7" x14ac:dyDescent="0.2">
      <c r="A44" s="105" t="s">
        <v>286</v>
      </c>
      <c r="B44" s="5" t="s">
        <v>254</v>
      </c>
      <c r="C44" s="5">
        <v>10</v>
      </c>
      <c r="D44" s="119">
        <v>1</v>
      </c>
      <c r="E44" s="117">
        <f t="shared" si="2"/>
        <v>300</v>
      </c>
      <c r="F44" s="112">
        <v>3.61</v>
      </c>
      <c r="G44" s="118">
        <f t="shared" si="3"/>
        <v>1083</v>
      </c>
    </row>
    <row r="45" spans="1:7" x14ac:dyDescent="0.2">
      <c r="A45" s="100" t="s">
        <v>287</v>
      </c>
      <c r="B45" s="5" t="s">
        <v>254</v>
      </c>
      <c r="C45" s="5">
        <v>3</v>
      </c>
      <c r="D45" s="119">
        <v>12</v>
      </c>
      <c r="E45" s="117">
        <f t="shared" si="2"/>
        <v>7.5</v>
      </c>
      <c r="F45" s="112">
        <v>6.68</v>
      </c>
      <c r="G45" s="118">
        <f t="shared" si="3"/>
        <v>50.099999999999994</v>
      </c>
    </row>
    <row r="46" spans="1:7" x14ac:dyDescent="0.2">
      <c r="A46" s="120" t="s">
        <v>288</v>
      </c>
      <c r="B46" s="5" t="s">
        <v>267</v>
      </c>
      <c r="C46" s="5">
        <v>4</v>
      </c>
      <c r="D46" s="119">
        <v>1</v>
      </c>
      <c r="E46" s="117">
        <f t="shared" si="2"/>
        <v>120</v>
      </c>
      <c r="F46" s="112">
        <v>26.11</v>
      </c>
      <c r="G46" s="118">
        <f t="shared" si="3"/>
        <v>3133.2</v>
      </c>
    </row>
    <row r="47" spans="1:7" x14ac:dyDescent="0.2">
      <c r="A47" s="120" t="s">
        <v>289</v>
      </c>
      <c r="B47" s="5" t="s">
        <v>267</v>
      </c>
      <c r="C47" s="5">
        <v>4</v>
      </c>
      <c r="D47" s="119">
        <v>1</v>
      </c>
      <c r="E47" s="117">
        <f t="shared" si="2"/>
        <v>120</v>
      </c>
      <c r="F47" s="112">
        <v>9.8800000000000008</v>
      </c>
      <c r="G47" s="118">
        <f t="shared" si="3"/>
        <v>1185.6000000000001</v>
      </c>
    </row>
    <row r="48" spans="1:7" ht="25.5" x14ac:dyDescent="0.2">
      <c r="A48" s="100" t="s">
        <v>290</v>
      </c>
      <c r="B48" s="5" t="s">
        <v>254</v>
      </c>
      <c r="C48" s="5">
        <v>12</v>
      </c>
      <c r="D48" s="119">
        <v>12</v>
      </c>
      <c r="E48" s="117">
        <f t="shared" si="2"/>
        <v>30</v>
      </c>
      <c r="F48" s="112">
        <v>7.28</v>
      </c>
      <c r="G48" s="118">
        <f t="shared" si="3"/>
        <v>218.4</v>
      </c>
    </row>
    <row r="49" spans="1:8" x14ac:dyDescent="0.2">
      <c r="A49" s="100" t="s">
        <v>291</v>
      </c>
      <c r="B49" s="5" t="s">
        <v>254</v>
      </c>
      <c r="C49" s="5">
        <v>3</v>
      </c>
      <c r="D49" s="119">
        <v>12</v>
      </c>
      <c r="E49" s="117">
        <f t="shared" si="2"/>
        <v>7.5</v>
      </c>
      <c r="F49" s="112">
        <v>55.58</v>
      </c>
      <c r="G49" s="118">
        <f t="shared" si="3"/>
        <v>416.84999999999997</v>
      </c>
    </row>
    <row r="50" spans="1:8" x14ac:dyDescent="0.2">
      <c r="A50" s="100" t="s">
        <v>292</v>
      </c>
      <c r="B50" s="5" t="s">
        <v>254</v>
      </c>
      <c r="C50" s="5">
        <v>6</v>
      </c>
      <c r="D50" s="119">
        <v>1</v>
      </c>
      <c r="E50" s="117">
        <f t="shared" si="2"/>
        <v>180</v>
      </c>
      <c r="F50" s="112">
        <v>23.96</v>
      </c>
      <c r="G50" s="118">
        <f t="shared" si="3"/>
        <v>4312.8</v>
      </c>
    </row>
    <row r="51" spans="1:8" x14ac:dyDescent="0.2">
      <c r="A51" s="100" t="s">
        <v>293</v>
      </c>
      <c r="B51" s="5" t="s">
        <v>254</v>
      </c>
      <c r="C51" s="5">
        <v>3</v>
      </c>
      <c r="D51" s="119">
        <v>12</v>
      </c>
      <c r="E51" s="117">
        <f t="shared" si="2"/>
        <v>7.5</v>
      </c>
      <c r="F51" s="112">
        <v>24.31</v>
      </c>
      <c r="G51" s="118">
        <f t="shared" si="3"/>
        <v>182.32499999999999</v>
      </c>
    </row>
    <row r="52" spans="1:8" x14ac:dyDescent="0.2">
      <c r="A52" s="100" t="s">
        <v>294</v>
      </c>
      <c r="B52" s="5" t="s">
        <v>254</v>
      </c>
      <c r="C52" s="5">
        <v>6</v>
      </c>
      <c r="D52" s="119">
        <v>6</v>
      </c>
      <c r="E52" s="117">
        <f t="shared" si="2"/>
        <v>30</v>
      </c>
      <c r="F52" s="112">
        <v>8.89</v>
      </c>
      <c r="G52" s="118">
        <f t="shared" si="3"/>
        <v>266.70000000000005</v>
      </c>
    </row>
    <row r="53" spans="1:8" ht="14.65" customHeight="1" x14ac:dyDescent="0.2">
      <c r="A53" s="236" t="s">
        <v>295</v>
      </c>
      <c r="B53" s="236"/>
      <c r="C53" s="236"/>
      <c r="D53" s="236"/>
      <c r="E53" s="236"/>
      <c r="F53" s="236"/>
      <c r="G53" s="121">
        <f>SUM(G32:G52)</f>
        <v>14250.86</v>
      </c>
    </row>
    <row r="54" spans="1:8" ht="14.65" customHeight="1" x14ac:dyDescent="0.2">
      <c r="A54" s="236" t="s">
        <v>296</v>
      </c>
      <c r="B54" s="236"/>
      <c r="C54" s="236"/>
      <c r="D54" s="236"/>
      <c r="E54" s="236"/>
      <c r="F54" s="236"/>
      <c r="G54" s="122">
        <f>G53/30</f>
        <v>475.02866666666671</v>
      </c>
    </row>
    <row r="56" spans="1:8" ht="33.75" customHeight="1" x14ac:dyDescent="0.2">
      <c r="A56" s="115" t="s">
        <v>297</v>
      </c>
      <c r="B56" s="98" t="s">
        <v>241</v>
      </c>
      <c r="C56" s="98" t="s">
        <v>272</v>
      </c>
      <c r="D56" s="98" t="s">
        <v>298</v>
      </c>
      <c r="E56" s="98" t="s">
        <v>243</v>
      </c>
      <c r="F56" s="99" t="s">
        <v>244</v>
      </c>
      <c r="G56" s="99" t="s">
        <v>245</v>
      </c>
    </row>
    <row r="57" spans="1:8" s="106" customFormat="1" x14ac:dyDescent="0.2">
      <c r="A57" s="116" t="s">
        <v>299</v>
      </c>
      <c r="B57" s="11" t="s">
        <v>254</v>
      </c>
      <c r="C57" s="11">
        <v>1</v>
      </c>
      <c r="D57" s="11">
        <v>20</v>
      </c>
      <c r="E57" s="117">
        <f t="shared" ref="E57:E63" si="4">30/D57*C57</f>
        <v>1.5</v>
      </c>
      <c r="F57" s="112">
        <v>906.21</v>
      </c>
      <c r="G57" s="112">
        <f t="shared" ref="G57:G63" si="5">E57*F57</f>
        <v>1359.3150000000001</v>
      </c>
      <c r="H57" s="52"/>
    </row>
    <row r="58" spans="1:8" s="106" customFormat="1" x14ac:dyDescent="0.2">
      <c r="A58" s="116" t="s">
        <v>300</v>
      </c>
      <c r="B58" s="11" t="s">
        <v>254</v>
      </c>
      <c r="C58" s="11">
        <v>2</v>
      </c>
      <c r="D58" s="11">
        <v>12</v>
      </c>
      <c r="E58" s="117">
        <f t="shared" si="4"/>
        <v>5</v>
      </c>
      <c r="F58" s="112">
        <v>195.82</v>
      </c>
      <c r="G58" s="112">
        <f t="shared" si="5"/>
        <v>979.09999999999991</v>
      </c>
      <c r="H58" s="52"/>
    </row>
    <row r="59" spans="1:8" ht="25.5" x14ac:dyDescent="0.2">
      <c r="A59" s="123" t="s">
        <v>301</v>
      </c>
      <c r="B59" s="11" t="s">
        <v>254</v>
      </c>
      <c r="C59" s="11">
        <v>1</v>
      </c>
      <c r="D59" s="11">
        <v>30</v>
      </c>
      <c r="E59" s="117">
        <f t="shared" si="4"/>
        <v>1</v>
      </c>
      <c r="F59" s="112">
        <v>917.19</v>
      </c>
      <c r="G59" s="112">
        <f t="shared" si="5"/>
        <v>917.19</v>
      </c>
    </row>
    <row r="60" spans="1:8" x14ac:dyDescent="0.2">
      <c r="A60" s="123" t="s">
        <v>302</v>
      </c>
      <c r="B60" s="11" t="s">
        <v>254</v>
      </c>
      <c r="C60" s="11">
        <v>1</v>
      </c>
      <c r="D60" s="11">
        <v>30</v>
      </c>
      <c r="E60" s="117">
        <f t="shared" si="4"/>
        <v>1</v>
      </c>
      <c r="F60" s="112">
        <v>184.05</v>
      </c>
      <c r="G60" s="112">
        <f t="shared" si="5"/>
        <v>184.05</v>
      </c>
    </row>
    <row r="61" spans="1:8" x14ac:dyDescent="0.2">
      <c r="A61" s="123" t="s">
        <v>303</v>
      </c>
      <c r="B61" s="11" t="s">
        <v>254</v>
      </c>
      <c r="C61" s="11">
        <v>1</v>
      </c>
      <c r="D61" s="11">
        <v>30</v>
      </c>
      <c r="E61" s="117">
        <f t="shared" si="4"/>
        <v>1</v>
      </c>
      <c r="F61" s="112">
        <v>235.64</v>
      </c>
      <c r="G61" s="112">
        <f t="shared" si="5"/>
        <v>235.64</v>
      </c>
    </row>
    <row r="62" spans="1:8" x14ac:dyDescent="0.2">
      <c r="A62" s="123" t="s">
        <v>304</v>
      </c>
      <c r="B62" s="11" t="s">
        <v>254</v>
      </c>
      <c r="C62" s="11">
        <v>1</v>
      </c>
      <c r="D62" s="11">
        <v>30</v>
      </c>
      <c r="E62" s="117">
        <f t="shared" si="4"/>
        <v>1</v>
      </c>
      <c r="F62" s="112">
        <v>421.54</v>
      </c>
      <c r="G62" s="112">
        <f t="shared" si="5"/>
        <v>421.54</v>
      </c>
    </row>
    <row r="63" spans="1:8" x14ac:dyDescent="0.2">
      <c r="A63" s="105" t="s">
        <v>305</v>
      </c>
      <c r="B63" s="5" t="s">
        <v>254</v>
      </c>
      <c r="C63" s="5">
        <v>6</v>
      </c>
      <c r="D63" s="119">
        <v>30</v>
      </c>
      <c r="E63" s="117">
        <f t="shared" si="4"/>
        <v>6</v>
      </c>
      <c r="F63" s="112">
        <v>33.65</v>
      </c>
      <c r="G63" s="112">
        <f t="shared" si="5"/>
        <v>201.89999999999998</v>
      </c>
    </row>
    <row r="64" spans="1:8" ht="12.75" customHeight="1" x14ac:dyDescent="0.2">
      <c r="A64" s="236" t="s">
        <v>306</v>
      </c>
      <c r="B64" s="236"/>
      <c r="C64" s="236"/>
      <c r="D64" s="236"/>
      <c r="E64" s="236"/>
      <c r="F64" s="236"/>
      <c r="G64" s="114">
        <f>SUM(G57:G63)</f>
        <v>4298.7349999999997</v>
      </c>
    </row>
    <row r="65" spans="1:8" ht="12.75" customHeight="1" x14ac:dyDescent="0.2">
      <c r="A65" s="236" t="s">
        <v>307</v>
      </c>
      <c r="B65" s="236"/>
      <c r="C65" s="236"/>
      <c r="D65" s="236"/>
      <c r="E65" s="236"/>
      <c r="F65" s="236"/>
      <c r="G65" s="114">
        <f>G64/30</f>
        <v>143.29116666666667</v>
      </c>
    </row>
    <row r="67" spans="1:8" s="52" customFormat="1" ht="35.1" customHeight="1" x14ac:dyDescent="0.2">
      <c r="A67" s="124" t="s">
        <v>308</v>
      </c>
      <c r="B67" s="98" t="s">
        <v>241</v>
      </c>
      <c r="C67" s="98" t="s">
        <v>243</v>
      </c>
      <c r="D67" s="99" t="s">
        <v>244</v>
      </c>
      <c r="E67" s="99" t="s">
        <v>245</v>
      </c>
    </row>
    <row r="68" spans="1:8" s="52" customFormat="1" x14ac:dyDescent="0.2">
      <c r="A68" s="123" t="s">
        <v>309</v>
      </c>
      <c r="B68" s="11" t="s">
        <v>254</v>
      </c>
      <c r="C68" s="125">
        <v>6</v>
      </c>
      <c r="D68" s="112">
        <v>30.77</v>
      </c>
      <c r="E68" s="104">
        <f t="shared" ref="E68:E73" si="6">C68*D68</f>
        <v>184.62</v>
      </c>
    </row>
    <row r="69" spans="1:8" s="52" customFormat="1" ht="25.5" x14ac:dyDescent="0.2">
      <c r="A69" s="123" t="s">
        <v>310</v>
      </c>
      <c r="B69" s="11" t="s">
        <v>254</v>
      </c>
      <c r="C69" s="125">
        <v>9</v>
      </c>
      <c r="D69" s="112">
        <v>14.64</v>
      </c>
      <c r="E69" s="104">
        <f t="shared" si="6"/>
        <v>131.76</v>
      </c>
    </row>
    <row r="70" spans="1:8" s="52" customFormat="1" ht="25.5" x14ac:dyDescent="0.2">
      <c r="A70" s="123" t="s">
        <v>311</v>
      </c>
      <c r="B70" s="11" t="s">
        <v>254</v>
      </c>
      <c r="C70" s="125">
        <v>6</v>
      </c>
      <c r="D70" s="112">
        <v>36.81</v>
      </c>
      <c r="E70" s="104">
        <f t="shared" si="6"/>
        <v>220.86</v>
      </c>
    </row>
    <row r="71" spans="1:8" s="52" customFormat="1" ht="25.5" x14ac:dyDescent="0.2">
      <c r="A71" s="123" t="s">
        <v>312</v>
      </c>
      <c r="B71" s="11" t="s">
        <v>254</v>
      </c>
      <c r="C71" s="125">
        <v>6</v>
      </c>
      <c r="D71" s="112">
        <v>170.42</v>
      </c>
      <c r="E71" s="104">
        <f t="shared" si="6"/>
        <v>1022.52</v>
      </c>
    </row>
    <row r="72" spans="1:8" s="52" customFormat="1" ht="25.5" x14ac:dyDescent="0.2">
      <c r="A72" s="123" t="s">
        <v>313</v>
      </c>
      <c r="B72" s="11" t="s">
        <v>314</v>
      </c>
      <c r="C72" s="125">
        <v>6</v>
      </c>
      <c r="D72" s="112">
        <v>55.31</v>
      </c>
      <c r="E72" s="104">
        <f t="shared" si="6"/>
        <v>331.86</v>
      </c>
    </row>
    <row r="73" spans="1:8" s="52" customFormat="1" x14ac:dyDescent="0.2">
      <c r="A73" s="126" t="s">
        <v>315</v>
      </c>
      <c r="B73" s="7" t="s">
        <v>314</v>
      </c>
      <c r="C73" s="127">
        <v>30</v>
      </c>
      <c r="D73" s="128">
        <v>4.62</v>
      </c>
      <c r="E73" s="129">
        <f t="shared" si="6"/>
        <v>138.6</v>
      </c>
    </row>
    <row r="74" spans="1:8" s="52" customFormat="1" ht="12.75" customHeight="1" x14ac:dyDescent="0.2">
      <c r="A74" s="237" t="s">
        <v>316</v>
      </c>
      <c r="B74" s="237"/>
      <c r="C74" s="237"/>
      <c r="D74" s="237"/>
      <c r="E74" s="130">
        <f>SUM(E68:E73)</f>
        <v>2030.2199999999998</v>
      </c>
    </row>
    <row r="75" spans="1:8" ht="12.75" customHeight="1" x14ac:dyDescent="0.2">
      <c r="A75" s="236" t="s">
        <v>317</v>
      </c>
      <c r="B75" s="236"/>
      <c r="C75" s="236"/>
      <c r="D75" s="236"/>
      <c r="E75" s="122">
        <f>E74/30</f>
        <v>67.673999999999992</v>
      </c>
    </row>
    <row r="77" spans="1:8" ht="38.85" customHeight="1" x14ac:dyDescent="0.2">
      <c r="A77" s="131" t="s">
        <v>318</v>
      </c>
      <c r="B77" s="238" t="s">
        <v>319</v>
      </c>
      <c r="C77" s="238"/>
      <c r="D77" s="239" t="s">
        <v>320</v>
      </c>
      <c r="E77" s="239"/>
      <c r="F77" s="238" t="s">
        <v>321</v>
      </c>
      <c r="G77" s="238"/>
      <c r="H77" s="238"/>
    </row>
    <row r="78" spans="1:8" ht="14.65" customHeight="1" x14ac:dyDescent="0.2">
      <c r="A78" s="132" t="s">
        <v>322</v>
      </c>
      <c r="B78" s="235">
        <f>F21</f>
        <v>24811.200000000001</v>
      </c>
      <c r="C78" s="235">
        <f>SUM(B78:B78)</f>
        <v>24811.200000000001</v>
      </c>
      <c r="D78" s="235">
        <f>B78/30</f>
        <v>827.04000000000008</v>
      </c>
      <c r="E78" s="235"/>
      <c r="F78" s="229">
        <f>D78/H89</f>
        <v>275.68</v>
      </c>
      <c r="G78" s="229"/>
      <c r="H78" s="229"/>
    </row>
    <row r="79" spans="1:8" ht="12.75" customHeight="1" x14ac:dyDescent="0.2">
      <c r="A79" s="132" t="s">
        <v>323</v>
      </c>
      <c r="B79" s="235">
        <f>F28</f>
        <v>23196.9</v>
      </c>
      <c r="C79" s="235">
        <f>SUM(B79:B79)</f>
        <v>23196.9</v>
      </c>
      <c r="D79" s="235">
        <f>B79/30</f>
        <v>773.23</v>
      </c>
      <c r="E79" s="235"/>
      <c r="F79" s="229">
        <f>D79/H89</f>
        <v>257.74333333333334</v>
      </c>
      <c r="G79" s="229"/>
      <c r="H79" s="229"/>
    </row>
    <row r="80" spans="1:8" ht="14.65" customHeight="1" x14ac:dyDescent="0.2">
      <c r="A80" s="132" t="s">
        <v>324</v>
      </c>
      <c r="B80" s="235">
        <f>G53</f>
        <v>14250.86</v>
      </c>
      <c r="C80" s="235">
        <f>SUM(B80:B80)</f>
        <v>14250.86</v>
      </c>
      <c r="D80" s="235">
        <f>B80/30</f>
        <v>475.02866666666671</v>
      </c>
      <c r="E80" s="235"/>
      <c r="F80" s="229">
        <f>D80/H89</f>
        <v>158.34288888888889</v>
      </c>
      <c r="G80" s="229"/>
      <c r="H80" s="229"/>
    </row>
    <row r="81" spans="1:8" x14ac:dyDescent="0.2">
      <c r="A81" s="114" t="s">
        <v>325</v>
      </c>
      <c r="B81" s="232">
        <f>SUM(B78:B80)</f>
        <v>62258.960000000006</v>
      </c>
      <c r="C81" s="232">
        <f>SUM(B81:B81)</f>
        <v>62258.960000000006</v>
      </c>
      <c r="D81" s="232">
        <f>B81/30</f>
        <v>2075.298666666667</v>
      </c>
      <c r="E81" s="232"/>
      <c r="F81" s="233">
        <f>F78+F79+F80</f>
        <v>691.76622222222227</v>
      </c>
      <c r="G81" s="233"/>
      <c r="H81" s="233"/>
    </row>
    <row r="82" spans="1:8" x14ac:dyDescent="0.2">
      <c r="A82" s="234"/>
      <c r="B82" s="234"/>
      <c r="C82" s="234"/>
      <c r="D82" s="234"/>
      <c r="E82" s="234"/>
      <c r="F82" s="229"/>
      <c r="G82" s="229"/>
      <c r="H82" s="229"/>
    </row>
    <row r="83" spans="1:8" ht="12.75" customHeight="1" x14ac:dyDescent="0.2">
      <c r="A83" s="114" t="s">
        <v>297</v>
      </c>
      <c r="B83" s="232">
        <f>G64</f>
        <v>4298.7349999999997</v>
      </c>
      <c r="C83" s="232"/>
      <c r="D83" s="232">
        <f>B83/30</f>
        <v>143.29116666666667</v>
      </c>
      <c r="E83" s="232"/>
      <c r="F83" s="233">
        <f>D83/H89</f>
        <v>47.763722222222221</v>
      </c>
      <c r="G83" s="233"/>
      <c r="H83" s="233"/>
    </row>
    <row r="84" spans="1:8" ht="12.75" customHeight="1" x14ac:dyDescent="0.2">
      <c r="A84" s="149"/>
      <c r="B84" s="149"/>
      <c r="C84" s="149"/>
      <c r="D84" s="149"/>
      <c r="E84" s="149"/>
      <c r="F84" s="229"/>
      <c r="G84" s="229"/>
      <c r="H84" s="229"/>
    </row>
    <row r="85" spans="1:8" x14ac:dyDescent="0.2">
      <c r="A85" s="114" t="s">
        <v>308</v>
      </c>
      <c r="B85" s="232">
        <f>E74</f>
        <v>2030.2199999999998</v>
      </c>
      <c r="C85" s="232"/>
      <c r="D85" s="232">
        <f>B85/30</f>
        <v>67.673999999999992</v>
      </c>
      <c r="E85" s="232"/>
      <c r="F85" s="233">
        <f>D85</f>
        <v>67.673999999999992</v>
      </c>
      <c r="G85" s="233"/>
      <c r="H85" s="233"/>
    </row>
    <row r="86" spans="1:8" ht="12.75" customHeight="1" x14ac:dyDescent="0.2">
      <c r="A86" s="149"/>
      <c r="B86" s="149"/>
      <c r="C86" s="149"/>
      <c r="D86" s="149"/>
      <c r="E86" s="149"/>
      <c r="F86" s="229"/>
      <c r="G86" s="229"/>
      <c r="H86" s="229"/>
    </row>
    <row r="87" spans="1:8" ht="12.75" customHeight="1" x14ac:dyDescent="0.2">
      <c r="A87" s="114" t="s">
        <v>326</v>
      </c>
      <c r="B87" s="230">
        <f>B81+B83+B85</f>
        <v>68587.915000000008</v>
      </c>
      <c r="C87" s="230"/>
      <c r="D87" s="230">
        <f>B87/12</f>
        <v>5715.659583333334</v>
      </c>
      <c r="E87" s="230"/>
      <c r="F87" s="231">
        <f>F81+F83+F85</f>
        <v>807.20394444444446</v>
      </c>
      <c r="G87" s="231"/>
      <c r="H87" s="231"/>
    </row>
    <row r="88" spans="1:8" x14ac:dyDescent="0.2">
      <c r="A88" s="133"/>
      <c r="B88" s="134"/>
      <c r="C88" s="134"/>
      <c r="D88" s="134"/>
      <c r="E88" s="134"/>
    </row>
    <row r="89" spans="1:8" ht="31.35" customHeight="1" x14ac:dyDescent="0.2">
      <c r="A89" s="227" t="s">
        <v>327</v>
      </c>
      <c r="B89" s="227"/>
      <c r="C89" s="227"/>
      <c r="D89" s="227"/>
      <c r="E89" s="227"/>
      <c r="F89" s="227"/>
      <c r="G89" s="227"/>
      <c r="H89" s="135">
        <v>3</v>
      </c>
    </row>
    <row r="90" spans="1:8" x14ac:dyDescent="0.2">
      <c r="A90" s="228" t="s">
        <v>328</v>
      </c>
      <c r="B90" s="228"/>
      <c r="C90" s="228"/>
      <c r="D90" s="228"/>
      <c r="E90" s="228"/>
      <c r="F90" s="228"/>
      <c r="G90" s="228"/>
    </row>
  </sheetData>
  <mergeCells count="51">
    <mergeCell ref="A1:H1"/>
    <mergeCell ref="A2:H2"/>
    <mergeCell ref="A3:E3"/>
    <mergeCell ref="F3:H3"/>
    <mergeCell ref="A4:E4"/>
    <mergeCell ref="F4:H4"/>
    <mergeCell ref="A5:E5"/>
    <mergeCell ref="F5:H5"/>
    <mergeCell ref="A6:H6"/>
    <mergeCell ref="A21:E21"/>
    <mergeCell ref="A22:E22"/>
    <mergeCell ref="A28:E28"/>
    <mergeCell ref="A29:E29"/>
    <mergeCell ref="A53:F53"/>
    <mergeCell ref="A54:F54"/>
    <mergeCell ref="A64:F64"/>
    <mergeCell ref="A65:F65"/>
    <mergeCell ref="A74:D74"/>
    <mergeCell ref="A75:D75"/>
    <mergeCell ref="B77:C77"/>
    <mergeCell ref="D77:E77"/>
    <mergeCell ref="F77:H77"/>
    <mergeCell ref="B78:C78"/>
    <mergeCell ref="D78:E78"/>
    <mergeCell ref="F78:H78"/>
    <mergeCell ref="B79:C79"/>
    <mergeCell ref="D79:E79"/>
    <mergeCell ref="F79:H79"/>
    <mergeCell ref="B80:C80"/>
    <mergeCell ref="D80:E80"/>
    <mergeCell ref="F80:H80"/>
    <mergeCell ref="B81:C81"/>
    <mergeCell ref="D81:E81"/>
    <mergeCell ref="F81:H81"/>
    <mergeCell ref="A82:E82"/>
    <mergeCell ref="F82:H82"/>
    <mergeCell ref="B83:C83"/>
    <mergeCell ref="D83:E83"/>
    <mergeCell ref="F83:H83"/>
    <mergeCell ref="A84:E84"/>
    <mergeCell ref="F84:H84"/>
    <mergeCell ref="B85:C85"/>
    <mergeCell ref="D85:E85"/>
    <mergeCell ref="F85:H85"/>
    <mergeCell ref="A89:G89"/>
    <mergeCell ref="A90:G90"/>
    <mergeCell ref="A86:E86"/>
    <mergeCell ref="F86:H86"/>
    <mergeCell ref="B87:C87"/>
    <mergeCell ref="D87:E87"/>
    <mergeCell ref="F87:H87"/>
  </mergeCells>
  <pageMargins left="0.78749999999999998" right="0.78749999999999998" top="1.05277777777778" bottom="1.05277777777778" header="0.78749999999999998" footer="0.78749999999999998"/>
  <pageSetup paperSize="9" scale="67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Real BCCPA-IN 5-CV - 40%</vt:lpstr>
      <vt:lpstr>RESUMO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dc:description/>
  <cp:lastModifiedBy>Silvia Elena Koth Sedrez</cp:lastModifiedBy>
  <cp:revision>36</cp:revision>
  <cp:lastPrinted>2022-03-30T09:31:46Z</cp:lastPrinted>
  <dcterms:created xsi:type="dcterms:W3CDTF">2020-10-17T01:51:37Z</dcterms:created>
  <dcterms:modified xsi:type="dcterms:W3CDTF">2022-04-14T12:28:13Z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